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modgovuk.sharepoint.com/teams/300830/Reg Output/Annual Report + Service Complaints Brief + Statistical Tables/2023/2. Annual Statistical Tables/"/>
    </mc:Choice>
  </mc:AlternateContent>
  <xr:revisionPtr revIDLastSave="997" documentId="8_{27AF0997-7E5B-4B84-BC2D-6CCFFF14074B}" xr6:coauthVersionLast="47" xr6:coauthVersionMax="47" xr10:uidLastSave="{5B72865D-4BB7-42E4-BAEF-6E77D1587400}"/>
  <bookViews>
    <workbookView xWindow="-120" yWindow="-120" windowWidth="29040" windowHeight="15840" tabRatio="870" xr2:uid="{00000000-000D-0000-FFFF-FFFF00000000}"/>
  </bookViews>
  <sheets>
    <sheet name="Cover" sheetId="30" r:id="rId1"/>
    <sheet name="Content" sheetId="28" r:id="rId2"/>
    <sheet name="3.1" sheetId="26" r:id="rId3"/>
    <sheet name="3.2" sheetId="27" r:id="rId4"/>
    <sheet name="3.3" sheetId="10" r:id="rId5"/>
    <sheet name="3.4" sheetId="32" r:id="rId6"/>
    <sheet name="3.5" sheetId="33" r:id="rId7"/>
    <sheet name="3.6" sheetId="15" r:id="rId8"/>
    <sheet name="3.7" sheetId="16" r:id="rId9"/>
    <sheet name="3.8" sheetId="24" r:id="rId10"/>
    <sheet name="3.9" sheetId="11" r:id="rId11"/>
    <sheet name="3.10" sheetId="21" r:id="rId12"/>
    <sheet name="3.11" sheetId="18" r:id="rId13"/>
    <sheet name="3.12" sheetId="17" r:id="rId14"/>
    <sheet name="3.13" sheetId="14" r:id="rId15"/>
    <sheet name="3.14" sheetId="12" r:id="rId16"/>
    <sheet name="3.15" sheetId="13" r:id="rId17"/>
    <sheet name="3.17" sheetId="19" r:id="rId18"/>
    <sheet name="3.18" sheetId="23" r:id="rId19"/>
    <sheet name="3.19" sheetId="22" r:id="rId20"/>
    <sheet name="3.20" sheetId="25" r:id="rId21"/>
    <sheet name="Summary Statistics - Negative" sheetId="4" state="hidden" r:id="rId22"/>
    <sheet name="Summary Statistics - Positive" sheetId="9" state="hidden" r:id="rId23"/>
    <sheet name="X" sheetId="8" state="hidden" r:id="rId24"/>
    <sheet name="Chart Output - 1" sheetId="5" state="hidden" r:id="rId25"/>
    <sheet name="Chart Output - 2" sheetId="7" state="hidden" r:id="rId26"/>
  </sheets>
  <externalReferences>
    <externalReference r:id="rId27"/>
    <externalReference r:id="rId28"/>
    <externalReference r:id="rId29"/>
    <externalReference r:id="rId30"/>
    <externalReference r:id="rId31"/>
  </externalReferences>
  <definedNames>
    <definedName name="AA000">'[1]Cases Data'!#REF!</definedName>
    <definedName name="Caseworker2">'[2]Do not change'!$B$55:$B$59</definedName>
    <definedName name="Country">'[2]Do not change'!$B$61:$B$68</definedName>
    <definedName name="Enq_Date_Range">'[3]Detailed - Enq'!$U$7:$U$62</definedName>
    <definedName name="Enq_Metric_Range">'[3]Detailed - Enq'!$V$6:$FY$6</definedName>
    <definedName name="Enq_Starting_Cell">'[3]Detailed - Enq'!$U$6</definedName>
    <definedName name="Gender">'[4]Do not change'!$H$8:$H$9</definedName>
    <definedName name="HeardAbout">'[2]Do not change'!$B$85:$B$92</definedName>
    <definedName name="Holidays">#REF!</definedName>
    <definedName name="Level1">'[2]Do not change'!$B$21:$B$30</definedName>
    <definedName name="Level2">'[2]Do not change'!$B$32:$B$38</definedName>
    <definedName name="Level3">'[2]Do not change'!$B$40:$B$44</definedName>
    <definedName name="Main_Plot_Data_Range_ADM">OFFSET(#REF!,#REF!-1,0,#REF!-#REF!+7,1)</definedName>
    <definedName name="Main_Plot_Data_Range_DEL">OFFSET(#REF!,#REF!-1,0,#REF!-#REF!+7,1)</definedName>
    <definedName name="Main_Plot_Data_Range_MAL">OFFSET(#REF!,#REF!-1,0,#REF!-#REF!+7,1)</definedName>
    <definedName name="Main_Plot_Data_Range_MandS">OFFSET(#REF!,#REF!-1,0,#REF!-#REF!+7,1)</definedName>
    <definedName name="Main_Plot_Data_Range_SUB">OFFSET(#REF!,#REF!-1,0,#REF!-#REF!+7,1)</definedName>
    <definedName name="Main_Plot_Data_Range_Total">OFFSET(#REF!,#REF!-1,0,#REF!-#REF!+7,1)</definedName>
    <definedName name="Main_Plot_X_axis_Range">OFFSET(#REF!,#REF!-1,0,#REF!-#REF!+7,1)</definedName>
    <definedName name="NAME_INV">"INV"</definedName>
    <definedName name="NAME_LESSEQUAL">"""&lt;="""</definedName>
    <definedName name="NAME_LESSTHAN">"""&lt;"""</definedName>
    <definedName name="NAME_MOREEQUAL">"""&gt;="""</definedName>
    <definedName name="NAME_MORETHAN">"""&gt;"""</definedName>
    <definedName name="NAME_OPEN">"Open"</definedName>
    <definedName name="Plot_CCI_AvAllDuration">OFFSET([5]Calc!#REF!,,,[5]Calc!$C$17-1,1)</definedName>
    <definedName name="Plot_CCI_AvAllocDuration">OFFSET([5]Calc!#REF!,,,[5]Calc!$C$17-1,1)</definedName>
    <definedName name="Plot_CCI_AvUnallocDuration">OFFSET([5]Calc!#REF!,,,[5]Calc!$C$17-1,1)</definedName>
    <definedName name="Plot_CNCI_AvAllDuration">OFFSET([5]Calc!#REF!,,,[5]Calc!$C$17-1,1)</definedName>
    <definedName name="Plot_CNCI_AvAllocDuration">OFFSET([5]Calc!#REF!,,,[5]Calc!$C$17-1,1)</definedName>
    <definedName name="Plot_CNCI_AvUnallocDuration">OFFSET([5]Calc!#REF!,,,[5]Calc!$C$17-1,1)</definedName>
    <definedName name="Plot_Data_Range_Backlog">OFFSET([5]Calc!#REF!,,,[5]Calc!$C$17-1,1)</definedName>
    <definedName name="Plot_Data_Range_Open_INV_Total">OFFSET([5]Calc!#REF!,,,[5]Calc!$C$17-1,1)</definedName>
    <definedName name="Plot_QSR_New_ENQ_Volume">OFFSET(#REF!,,,#REF!-8,)</definedName>
    <definedName name="Plot_QSR_New_X_axis">OFFSET(#REF!,,,#REF!-8,2)</definedName>
    <definedName name="Plot_QSR_Old_ENQ_volume">OFFSET(#REF!,,,#REF!,)</definedName>
    <definedName name="Plot_QSR_Old_X_axis">OFFSET(#REF!,,,#REF!,2)</definedName>
    <definedName name="Plot_X_axis_Per_Mth_Range">OFFSET([5]Calc!$AS$8,,,[5]Calc!$C$17-1,1)</definedName>
    <definedName name="PNP">'[2]Do not change'!$B$76:$B$79</definedName>
    <definedName name="PrescribedCats">'[2]Do not change'!$B$16:$B$18</definedName>
    <definedName name="_xlnm.Print_Area" localSheetId="16">'3.15'!$A$1:$K$55</definedName>
    <definedName name="_xlnm.Print_Area" localSheetId="25">'Chart Output - 2'!$A$1:$AA$60</definedName>
    <definedName name="_xlnm.Print_Area" localSheetId="0">Cover!$A$1:$E$21</definedName>
    <definedName name="_xlnm.Print_Area" localSheetId="21">'Summary Statistics - Negative'!$B$1:$R$46</definedName>
    <definedName name="Process">'[4]Do not change'!$E$20:$E$22</definedName>
    <definedName name="ReferredTo">'[2]Do not change'!$B$81:$B$83</definedName>
    <definedName name="RegRes2">'[4]Do not change'!$K$9:$K$12</definedName>
    <definedName name="Reports">'[2]Do not change'!$E$20:$E$22</definedName>
    <definedName name="SCCRanks">'[2]Do not change'!$K$3:$K$7</definedName>
    <definedName name="SCPor">'[2]Do not change'!$B$46:$B$48</definedName>
    <definedName name="Service1">'[4]Do not change'!$E$4:$E$9</definedName>
    <definedName name="Service2">'[2]Do not change'!$E$11:$E$14</definedName>
    <definedName name="WhySCC">'[2]Do not change'!$B$94:$B$97</definedName>
    <definedName name="YesNo">'[2]Do not change'!$B$6:$B$8</definedName>
    <definedName name="YesNoNA">'[2]Do not change'!$B$10:$B$13</definedName>
  </definedNames>
  <calcPr calcId="191028"/>
  <pivotCaches>
    <pivotCache cacheId="0" r:id="rId3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30" l="1"/>
  <c r="N5" i="4" l="1"/>
  <c r="G28" i="4"/>
  <c r="E28" i="4"/>
  <c r="G27" i="4"/>
  <c r="E27" i="4"/>
  <c r="E17" i="4"/>
  <c r="Q16" i="9"/>
  <c r="P16" i="9"/>
  <c r="O16" i="9"/>
  <c r="L16" i="9"/>
  <c r="K16" i="9"/>
  <c r="J16" i="9"/>
  <c r="I16" i="9"/>
  <c r="H16" i="9"/>
  <c r="G16" i="9"/>
  <c r="Q15" i="9"/>
  <c r="P15" i="9"/>
  <c r="O15" i="9"/>
  <c r="L15" i="9"/>
  <c r="K15" i="9"/>
  <c r="J15" i="9"/>
  <c r="I15" i="9"/>
  <c r="H15" i="9"/>
  <c r="G15" i="9"/>
  <c r="Q14" i="9"/>
  <c r="P14" i="9"/>
  <c r="O14" i="9"/>
  <c r="L14" i="9"/>
  <c r="K14" i="9"/>
  <c r="J14" i="9"/>
  <c r="I14" i="9"/>
  <c r="H14" i="9"/>
  <c r="G14" i="9"/>
  <c r="Q13" i="9"/>
  <c r="P13" i="9"/>
  <c r="O13" i="9"/>
  <c r="L13" i="9"/>
  <c r="K13" i="9"/>
  <c r="J13" i="9"/>
  <c r="I13" i="9"/>
  <c r="H13" i="9"/>
  <c r="G13" i="9"/>
  <c r="P12" i="9"/>
  <c r="O12" i="9"/>
  <c r="K12" i="9"/>
  <c r="J12" i="9"/>
  <c r="I12" i="9"/>
  <c r="H12" i="9"/>
  <c r="G12" i="9"/>
  <c r="Q5" i="9"/>
  <c r="P5" i="9"/>
  <c r="O5" i="9"/>
  <c r="N5" i="9"/>
  <c r="M5" i="9"/>
  <c r="L5" i="9"/>
  <c r="K5" i="9"/>
  <c r="J5" i="9"/>
  <c r="I5" i="9"/>
  <c r="H5" i="9"/>
  <c r="G5" i="9"/>
  <c r="Q4" i="9"/>
  <c r="P4" i="9"/>
  <c r="O4" i="9"/>
  <c r="K4" i="9"/>
  <c r="J4" i="9"/>
  <c r="I4" i="9"/>
  <c r="H4" i="9"/>
  <c r="G4" i="9"/>
  <c r="Q3" i="9"/>
  <c r="P3" i="9"/>
  <c r="O3" i="9"/>
  <c r="L3" i="9"/>
  <c r="K3" i="9"/>
  <c r="J3" i="9"/>
  <c r="I3" i="9"/>
  <c r="H3" i="9"/>
  <c r="G3" i="9"/>
  <c r="Q37" i="9"/>
  <c r="P37" i="9"/>
  <c r="O37" i="9"/>
  <c r="N37" i="9"/>
  <c r="M37" i="9"/>
  <c r="L37" i="9"/>
  <c r="K37" i="9"/>
  <c r="J37" i="9"/>
  <c r="I37" i="9"/>
  <c r="H37" i="9"/>
  <c r="G37" i="9"/>
  <c r="Q36" i="9"/>
  <c r="P36" i="9"/>
  <c r="O36" i="9"/>
  <c r="N36" i="9"/>
  <c r="M36" i="9"/>
  <c r="L36" i="9"/>
  <c r="K36" i="9"/>
  <c r="J36" i="9"/>
  <c r="I36" i="9"/>
  <c r="H36" i="9"/>
  <c r="G36" i="9"/>
  <c r="Q35" i="9"/>
  <c r="P35" i="9"/>
  <c r="O35" i="9"/>
  <c r="N35" i="9"/>
  <c r="M35" i="9"/>
  <c r="L35" i="9"/>
  <c r="K35" i="9"/>
  <c r="J35" i="9"/>
  <c r="I35" i="9"/>
  <c r="H35" i="9"/>
  <c r="G35" i="9"/>
  <c r="Q34" i="9"/>
  <c r="P34" i="9"/>
  <c r="O34" i="9"/>
  <c r="J34" i="9"/>
  <c r="I34" i="9"/>
  <c r="H34" i="9"/>
  <c r="G34" i="9"/>
  <c r="N34" i="9"/>
  <c r="M34" i="9"/>
  <c r="L34" i="9"/>
  <c r="K34" i="9"/>
  <c r="Q28" i="9"/>
  <c r="P28" i="9"/>
  <c r="O28" i="9"/>
  <c r="L28" i="9"/>
  <c r="K28" i="9"/>
  <c r="J28" i="9"/>
  <c r="I28" i="9"/>
  <c r="H28" i="9"/>
  <c r="G28" i="9"/>
  <c r="F28" i="9"/>
  <c r="Q46" i="9"/>
  <c r="P46" i="9"/>
  <c r="O46" i="9"/>
  <c r="F46" i="9"/>
  <c r="E46" i="9"/>
  <c r="D46" i="9"/>
  <c r="N45" i="9"/>
  <c r="M45" i="9"/>
  <c r="L45" i="9"/>
  <c r="K45" i="9"/>
  <c r="F45" i="9"/>
  <c r="E45" i="9"/>
  <c r="D45" i="9"/>
  <c r="J44" i="9"/>
  <c r="I44" i="9"/>
  <c r="H44" i="9"/>
  <c r="G44" i="9"/>
  <c r="F44" i="9"/>
  <c r="E44" i="9"/>
  <c r="D44" i="9"/>
  <c r="F43" i="9"/>
  <c r="E43" i="9"/>
  <c r="D43" i="9"/>
  <c r="F42" i="9"/>
  <c r="E42" i="9"/>
  <c r="D42" i="9"/>
  <c r="F41" i="9"/>
  <c r="E41" i="9"/>
  <c r="D41" i="9"/>
  <c r="F40" i="9"/>
  <c r="E40" i="9"/>
  <c r="D40" i="9"/>
  <c r="F39" i="9"/>
  <c r="E39" i="9"/>
  <c r="D39" i="9"/>
  <c r="F38" i="9"/>
  <c r="E38" i="9"/>
  <c r="D38" i="9"/>
  <c r="F37" i="9"/>
  <c r="E37" i="9"/>
  <c r="D37" i="9"/>
  <c r="F36" i="9"/>
  <c r="E36" i="9"/>
  <c r="D36" i="9"/>
  <c r="F35" i="9"/>
  <c r="E35" i="9"/>
  <c r="D35" i="9"/>
  <c r="F34" i="9"/>
  <c r="E34" i="9"/>
  <c r="D34" i="9"/>
  <c r="Q32" i="9"/>
  <c r="P32" i="9"/>
  <c r="O32" i="9"/>
  <c r="N32" i="9"/>
  <c r="M32" i="9"/>
  <c r="L32" i="9"/>
  <c r="K32" i="9"/>
  <c r="J32" i="9"/>
  <c r="I32" i="9"/>
  <c r="H32" i="9"/>
  <c r="G32" i="9"/>
  <c r="F32" i="9"/>
  <c r="E32" i="9"/>
  <c r="D32" i="9"/>
  <c r="Q29" i="9"/>
  <c r="P29" i="9"/>
  <c r="O29" i="9"/>
  <c r="L29" i="9"/>
  <c r="K29" i="9"/>
  <c r="J29" i="9"/>
  <c r="I29" i="9"/>
  <c r="H29" i="9"/>
  <c r="G29" i="9"/>
  <c r="F29" i="9"/>
  <c r="E29" i="9"/>
  <c r="D29" i="9"/>
  <c r="E28" i="9"/>
  <c r="D28" i="9"/>
  <c r="Q27" i="9"/>
  <c r="P27" i="9"/>
  <c r="O27" i="9"/>
  <c r="L27" i="9"/>
  <c r="K27" i="9"/>
  <c r="J27" i="9"/>
  <c r="I27" i="9"/>
  <c r="H27" i="9"/>
  <c r="G27" i="9"/>
  <c r="F27" i="9"/>
  <c r="E27" i="9"/>
  <c r="D27" i="9"/>
  <c r="Q26" i="9"/>
  <c r="P26" i="9"/>
  <c r="O26" i="9"/>
  <c r="L26" i="9"/>
  <c r="K26" i="9"/>
  <c r="J26" i="9"/>
  <c r="I26" i="9"/>
  <c r="H26" i="9"/>
  <c r="G26" i="9"/>
  <c r="F26" i="9"/>
  <c r="E26" i="9"/>
  <c r="D26" i="9"/>
  <c r="Q23" i="9"/>
  <c r="P23" i="9"/>
  <c r="O23" i="9"/>
  <c r="N23" i="9"/>
  <c r="M23" i="9"/>
  <c r="L23" i="9"/>
  <c r="K23" i="9"/>
  <c r="J23" i="9"/>
  <c r="I23" i="9"/>
  <c r="H23" i="9"/>
  <c r="G23" i="9"/>
  <c r="F23" i="9"/>
  <c r="E23" i="9"/>
  <c r="D23" i="9"/>
  <c r="Q22" i="9"/>
  <c r="P22" i="9"/>
  <c r="O22" i="9"/>
  <c r="N22" i="9"/>
  <c r="M22" i="9"/>
  <c r="L22" i="9"/>
  <c r="K22" i="9"/>
  <c r="J22" i="9"/>
  <c r="I22" i="9"/>
  <c r="H22" i="9"/>
  <c r="G22" i="9"/>
  <c r="F22" i="9"/>
  <c r="E22" i="9"/>
  <c r="D22" i="9"/>
  <c r="Q21" i="9"/>
  <c r="P21" i="9"/>
  <c r="O21" i="9"/>
  <c r="N21" i="9"/>
  <c r="M21" i="9"/>
  <c r="L21" i="9"/>
  <c r="K21" i="9"/>
  <c r="J21" i="9"/>
  <c r="I21" i="9"/>
  <c r="H21" i="9"/>
  <c r="G21" i="9"/>
  <c r="F21" i="9"/>
  <c r="E21" i="9"/>
  <c r="D21" i="9"/>
  <c r="Q18" i="9"/>
  <c r="P18" i="9"/>
  <c r="O18" i="9"/>
  <c r="K18" i="9"/>
  <c r="J18" i="9"/>
  <c r="I18" i="9"/>
  <c r="H18" i="9"/>
  <c r="G18" i="9"/>
  <c r="F18" i="9"/>
  <c r="E18" i="9"/>
  <c r="D18" i="9"/>
  <c r="Q17" i="9"/>
  <c r="P17" i="9"/>
  <c r="O17" i="9"/>
  <c r="L17" i="9"/>
  <c r="K17" i="9"/>
  <c r="J17" i="9"/>
  <c r="I17" i="9"/>
  <c r="H17" i="9"/>
  <c r="G17" i="9"/>
  <c r="F17" i="9"/>
  <c r="E17" i="9"/>
  <c r="D17" i="9"/>
  <c r="F16" i="9"/>
  <c r="E16" i="9"/>
  <c r="D16" i="9"/>
  <c r="F15" i="9"/>
  <c r="E15" i="9"/>
  <c r="D15" i="9"/>
  <c r="F14" i="9"/>
  <c r="E14" i="9"/>
  <c r="D14" i="9"/>
  <c r="F13" i="9"/>
  <c r="E13" i="9"/>
  <c r="D13" i="9"/>
  <c r="F12" i="9"/>
  <c r="E12" i="9"/>
  <c r="D12" i="9"/>
  <c r="F9" i="9"/>
  <c r="E9" i="9"/>
  <c r="D9" i="9"/>
  <c r="F8" i="9"/>
  <c r="E8" i="9"/>
  <c r="D8" i="9"/>
  <c r="F7" i="9"/>
  <c r="E7" i="9"/>
  <c r="D7" i="9"/>
  <c r="F6" i="9"/>
  <c r="E6" i="9"/>
  <c r="D6" i="9"/>
  <c r="F5" i="9"/>
  <c r="E5" i="9"/>
  <c r="D5" i="9"/>
  <c r="F4" i="9"/>
  <c r="E4" i="9"/>
  <c r="D4" i="9"/>
  <c r="F3" i="9"/>
  <c r="E3" i="9"/>
  <c r="D3" i="9"/>
  <c r="F2" i="9"/>
  <c r="E2" i="9"/>
  <c r="D2" i="9"/>
  <c r="B2" i="9"/>
  <c r="H44" i="4"/>
  <c r="C44" i="8"/>
  <c r="C43" i="8"/>
  <c r="C46" i="8"/>
  <c r="C42" i="8"/>
  <c r="C32" i="8"/>
  <c r="C33" i="8"/>
  <c r="C34" i="8"/>
  <c r="C31" i="8"/>
  <c r="C22" i="8"/>
  <c r="C23" i="8"/>
  <c r="C24" i="8"/>
  <c r="C21" i="8"/>
  <c r="C8" i="9" l="1"/>
  <c r="C13" i="9"/>
  <c r="C15" i="9"/>
  <c r="C23" i="9"/>
  <c r="C5" i="9"/>
  <c r="C35" i="9"/>
  <c r="C3" i="9"/>
  <c r="C6" i="9"/>
  <c r="C36" i="9"/>
  <c r="C16" i="9"/>
  <c r="C18" i="9"/>
  <c r="C22" i="9"/>
  <c r="C29" i="9"/>
  <c r="C26" i="9"/>
  <c r="C4" i="9"/>
  <c r="C9" i="9"/>
  <c r="C27" i="9"/>
  <c r="C34" i="9"/>
  <c r="C14" i="9"/>
  <c r="C21" i="9"/>
  <c r="C7" i="9"/>
  <c r="C12" i="9"/>
  <c r="C17" i="9"/>
  <c r="C32" i="9"/>
  <c r="C37" i="9"/>
  <c r="C28" i="9"/>
  <c r="G15" i="8"/>
  <c r="G14" i="8"/>
  <c r="G13" i="8"/>
  <c r="G12" i="8"/>
  <c r="G11" i="8"/>
  <c r="G10" i="8"/>
  <c r="G9" i="8"/>
  <c r="G8" i="8"/>
  <c r="G7" i="8"/>
  <c r="E12" i="4"/>
  <c r="F12" i="4"/>
  <c r="G12" i="4"/>
  <c r="H12" i="4"/>
  <c r="I12" i="4"/>
  <c r="J12" i="4"/>
  <c r="K12" i="4"/>
  <c r="L12" i="4"/>
  <c r="P12" i="4"/>
  <c r="Q12" i="4"/>
  <c r="R32" i="4"/>
  <c r="R29" i="4"/>
  <c r="R28" i="4"/>
  <c r="R27" i="4"/>
  <c r="R26" i="4"/>
  <c r="R23" i="4"/>
  <c r="R22" i="4"/>
  <c r="R21" i="4"/>
  <c r="R18" i="4"/>
  <c r="R17" i="4"/>
  <c r="R16" i="4"/>
  <c r="R15" i="4"/>
  <c r="R14" i="4"/>
  <c r="R13" i="4"/>
  <c r="R5" i="4"/>
  <c r="R4" i="4"/>
  <c r="R3" i="4"/>
  <c r="R46" i="4"/>
  <c r="R37" i="4"/>
  <c r="R36" i="4"/>
  <c r="R35" i="4"/>
  <c r="R34" i="4"/>
  <c r="Q18" i="4"/>
  <c r="P18" i="4"/>
  <c r="L18" i="4"/>
  <c r="K18" i="4"/>
  <c r="J18" i="4"/>
  <c r="I18" i="4"/>
  <c r="H18" i="4"/>
  <c r="G18" i="4"/>
  <c r="F18" i="4"/>
  <c r="E18" i="4"/>
  <c r="Q22" i="4"/>
  <c r="P22" i="4"/>
  <c r="O22" i="4"/>
  <c r="N22" i="4"/>
  <c r="M22" i="4"/>
  <c r="L22" i="4"/>
  <c r="K22" i="4"/>
  <c r="J22" i="4"/>
  <c r="I22" i="4"/>
  <c r="H22" i="4"/>
  <c r="G22" i="4"/>
  <c r="F22" i="4"/>
  <c r="E22" i="4"/>
  <c r="G6" i="4"/>
  <c r="F6" i="4"/>
  <c r="E6" i="4"/>
  <c r="Q5" i="4"/>
  <c r="P5" i="4"/>
  <c r="O5" i="4"/>
  <c r="M5" i="4"/>
  <c r="L5" i="4"/>
  <c r="K5" i="4"/>
  <c r="J5" i="4"/>
  <c r="I5" i="4"/>
  <c r="H5" i="4"/>
  <c r="G5" i="4"/>
  <c r="F5" i="4"/>
  <c r="E5" i="4"/>
  <c r="H4" i="4"/>
  <c r="Q4" i="4"/>
  <c r="P4" i="4"/>
  <c r="L4" i="4"/>
  <c r="K4" i="4"/>
  <c r="J4" i="4"/>
  <c r="I4" i="4"/>
  <c r="G4" i="4"/>
  <c r="F4" i="4"/>
  <c r="E4" i="4"/>
  <c r="G7" i="4"/>
  <c r="G8" i="4"/>
  <c r="G9" i="4"/>
  <c r="Q26" i="4"/>
  <c r="P26" i="4"/>
  <c r="M26" i="4"/>
  <c r="L26" i="4"/>
  <c r="K26" i="4"/>
  <c r="J26" i="4"/>
  <c r="I26" i="4"/>
  <c r="H26" i="4"/>
  <c r="G26" i="4"/>
  <c r="Q27" i="4"/>
  <c r="P27" i="4"/>
  <c r="M27" i="4"/>
  <c r="L27" i="4"/>
  <c r="K27" i="4"/>
  <c r="J27" i="4"/>
  <c r="I27" i="4"/>
  <c r="H27" i="4"/>
  <c r="Q13" i="4"/>
  <c r="P13" i="4"/>
  <c r="M13" i="4"/>
  <c r="L13" i="4"/>
  <c r="K13" i="4"/>
  <c r="J13" i="4"/>
  <c r="I13" i="4"/>
  <c r="H13" i="4"/>
  <c r="G13" i="4"/>
  <c r="Q14" i="4"/>
  <c r="P14" i="4"/>
  <c r="M14" i="4"/>
  <c r="L14" i="4"/>
  <c r="K14" i="4"/>
  <c r="J14" i="4"/>
  <c r="I14" i="4"/>
  <c r="H14" i="4"/>
  <c r="G14" i="4"/>
  <c r="Q15" i="4"/>
  <c r="P15" i="4"/>
  <c r="M15" i="4"/>
  <c r="L15" i="4"/>
  <c r="K15" i="4"/>
  <c r="J15" i="4"/>
  <c r="I15" i="4"/>
  <c r="H15" i="4"/>
  <c r="G15" i="4"/>
  <c r="Q16" i="4"/>
  <c r="P16" i="4"/>
  <c r="M16" i="4"/>
  <c r="L16" i="4"/>
  <c r="K16" i="4"/>
  <c r="J16" i="4"/>
  <c r="I16" i="4"/>
  <c r="H16" i="4"/>
  <c r="G16" i="4"/>
  <c r="Q17" i="4"/>
  <c r="P17" i="4"/>
  <c r="M17" i="4"/>
  <c r="L17" i="4"/>
  <c r="K17" i="4"/>
  <c r="J17" i="4"/>
  <c r="I17" i="4"/>
  <c r="H17" i="4"/>
  <c r="G17" i="4"/>
  <c r="Q21" i="4"/>
  <c r="P21" i="4"/>
  <c r="O21" i="4"/>
  <c r="N21" i="4"/>
  <c r="M21" i="4"/>
  <c r="L21" i="4"/>
  <c r="K21" i="4"/>
  <c r="J21" i="4"/>
  <c r="I21" i="4"/>
  <c r="H21" i="4"/>
  <c r="G21" i="4"/>
  <c r="Q23" i="4"/>
  <c r="P23" i="4"/>
  <c r="O23" i="4"/>
  <c r="N23" i="4"/>
  <c r="M23" i="4"/>
  <c r="L23" i="4"/>
  <c r="K23" i="4"/>
  <c r="J23" i="4"/>
  <c r="I23" i="4"/>
  <c r="H23" i="4"/>
  <c r="G23" i="4"/>
  <c r="Q28" i="4"/>
  <c r="P28" i="4"/>
  <c r="M28" i="4"/>
  <c r="L28" i="4"/>
  <c r="K28" i="4"/>
  <c r="J28" i="4"/>
  <c r="I28" i="4"/>
  <c r="H28" i="4"/>
  <c r="Q29" i="4"/>
  <c r="P29" i="4"/>
  <c r="M29" i="4"/>
  <c r="L29" i="4"/>
  <c r="K29" i="4"/>
  <c r="J29" i="4"/>
  <c r="I29" i="4"/>
  <c r="H29" i="4"/>
  <c r="G29" i="4"/>
  <c r="Q32" i="4"/>
  <c r="P32" i="4"/>
  <c r="O32" i="4"/>
  <c r="N32" i="4"/>
  <c r="M32" i="4"/>
  <c r="L32" i="4"/>
  <c r="K32" i="4"/>
  <c r="J32" i="4"/>
  <c r="I32" i="4"/>
  <c r="H32" i="4"/>
  <c r="G32" i="4"/>
  <c r="Q37" i="4"/>
  <c r="P37" i="4"/>
  <c r="Q36" i="4"/>
  <c r="P36" i="4"/>
  <c r="Q35" i="4"/>
  <c r="P35" i="4"/>
  <c r="Q34" i="4"/>
  <c r="P34" i="4"/>
  <c r="Q3" i="4"/>
  <c r="P3" i="4"/>
  <c r="O37" i="4"/>
  <c r="N37" i="4"/>
  <c r="M37" i="4"/>
  <c r="L37" i="4"/>
  <c r="O36" i="4"/>
  <c r="N36" i="4"/>
  <c r="M36" i="4"/>
  <c r="L36" i="4"/>
  <c r="O35" i="4"/>
  <c r="N35" i="4"/>
  <c r="M35" i="4"/>
  <c r="L35" i="4"/>
  <c r="O34" i="4"/>
  <c r="N34" i="4"/>
  <c r="M34" i="4"/>
  <c r="L34" i="4"/>
  <c r="M3" i="4"/>
  <c r="L3" i="4"/>
  <c r="K37" i="4"/>
  <c r="J37" i="4"/>
  <c r="I37" i="4"/>
  <c r="K36" i="4"/>
  <c r="J36" i="4"/>
  <c r="I36" i="4"/>
  <c r="K35" i="4"/>
  <c r="J35" i="4"/>
  <c r="I35" i="4"/>
  <c r="K34" i="4"/>
  <c r="J34" i="4"/>
  <c r="I34" i="4"/>
  <c r="K3" i="4"/>
  <c r="J3" i="4"/>
  <c r="I3" i="4"/>
  <c r="H34" i="4"/>
  <c r="H35" i="4"/>
  <c r="H36" i="4"/>
  <c r="H37" i="4"/>
  <c r="H3" i="4"/>
  <c r="G37" i="4"/>
  <c r="F37" i="4"/>
  <c r="E37" i="4"/>
  <c r="G36" i="4"/>
  <c r="F36" i="4"/>
  <c r="E36" i="4"/>
  <c r="G35" i="4"/>
  <c r="F35" i="4"/>
  <c r="E35" i="4"/>
  <c r="G34" i="4"/>
  <c r="F34" i="4"/>
  <c r="E34" i="4"/>
  <c r="F27" i="4"/>
  <c r="D27" i="4" s="1"/>
  <c r="F26" i="4"/>
  <c r="E26" i="4"/>
  <c r="G3" i="4"/>
  <c r="F3" i="4"/>
  <c r="E3" i="4"/>
  <c r="F28" i="4"/>
  <c r="D28" i="4" s="1"/>
  <c r="F29" i="4"/>
  <c r="E29" i="4"/>
  <c r="F13" i="4"/>
  <c r="E13" i="4"/>
  <c r="F14" i="4"/>
  <c r="E14" i="4"/>
  <c r="F15" i="4"/>
  <c r="E15" i="4"/>
  <c r="F16" i="4"/>
  <c r="E16" i="4"/>
  <c r="F17" i="4"/>
  <c r="F32" i="4"/>
  <c r="E32" i="4"/>
  <c r="F21" i="4"/>
  <c r="E21" i="4"/>
  <c r="F23" i="4"/>
  <c r="E23" i="4"/>
  <c r="E7" i="4"/>
  <c r="F7" i="4"/>
  <c r="E8" i="4"/>
  <c r="F8" i="4"/>
  <c r="E9" i="4"/>
  <c r="F9" i="4"/>
  <c r="Q46" i="4"/>
  <c r="P46" i="4"/>
  <c r="G42" i="4"/>
  <c r="E42" i="4"/>
  <c r="G46" i="4"/>
  <c r="E46" i="4"/>
  <c r="G41" i="4"/>
  <c r="E41" i="4"/>
  <c r="G2" i="4"/>
  <c r="F2" i="4"/>
  <c r="E2" i="4"/>
  <c r="C2" i="4"/>
  <c r="O45" i="4"/>
  <c r="N45" i="4"/>
  <c r="M45" i="4"/>
  <c r="L45" i="4"/>
  <c r="K44" i="4"/>
  <c r="J44" i="4"/>
  <c r="I44" i="4"/>
  <c r="G43" i="4"/>
  <c r="F43" i="4"/>
  <c r="E43" i="4"/>
  <c r="F42" i="4"/>
  <c r="F46" i="4"/>
  <c r="F41" i="4"/>
  <c r="G40" i="4"/>
  <c r="F40" i="4"/>
  <c r="E40" i="4"/>
  <c r="G45" i="4"/>
  <c r="F45" i="4"/>
  <c r="E45" i="4"/>
  <c r="G39" i="4"/>
  <c r="F39" i="4"/>
  <c r="E39" i="4"/>
  <c r="G44" i="4"/>
  <c r="F44" i="4"/>
  <c r="E44" i="4"/>
  <c r="G38" i="4"/>
  <c r="F38" i="4"/>
  <c r="E38" i="4"/>
  <c r="D12" i="4" l="1"/>
  <c r="D4" i="4"/>
  <c r="D6" i="4"/>
  <c r="D18" i="4"/>
  <c r="D36" i="4"/>
  <c r="D14" i="4"/>
  <c r="D22" i="4"/>
  <c r="D26" i="4"/>
  <c r="D5" i="4"/>
  <c r="D3" i="4"/>
  <c r="D37" i="4"/>
  <c r="D32" i="4"/>
  <c r="D8" i="4"/>
  <c r="D13" i="4"/>
  <c r="D35" i="4"/>
  <c r="D23" i="4"/>
  <c r="D16" i="4"/>
  <c r="D29" i="4"/>
  <c r="D7" i="4"/>
  <c r="D9" i="4"/>
  <c r="D21" i="4"/>
  <c r="D15" i="4"/>
  <c r="D17" i="4"/>
  <c r="D34" i="4"/>
</calcChain>
</file>

<file path=xl/sharedStrings.xml><?xml version="1.0" encoding="utf-8"?>
<sst xmlns="http://schemas.openxmlformats.org/spreadsheetml/2006/main" count="1198" uniqueCount="300">
  <si>
    <t>Q1. Were you involved with a Service Complaint in the last 12 months, either as a complainant, a respondent, an assisting officer or as a specified officer/commanding officer?</t>
  </si>
  <si>
    <t>Q2. Did you know about SCOAF before this visit was announced? If so, what was you main information source on SCOAF?</t>
  </si>
  <si>
    <t>Q3. Do you feel information on Service Complaints is easy to find?</t>
  </si>
  <si>
    <t>Q4. Did you know that JSP831 is a main source of information on Service Complaints?</t>
  </si>
  <si>
    <t>Q5. Did you know in what ways the Ombudsman could help you in the last 12 months?</t>
  </si>
  <si>
    <t>Q6. Do you feel training provides you with adequate awareness of the existence of Service Complaints and the Ombudsman?</t>
  </si>
  <si>
    <t>Q7. What is the main category of Service Complaint you are involved in?(choose the most memorable Service Complaint if there was more than one)</t>
  </si>
  <si>
    <t>Q8.1. Informal chats</t>
  </si>
  <si>
    <t>Q8.2. Mediation</t>
  </si>
  <si>
    <t>Q8.3. Special-to-type processes (used to resolve pay, accommodation and medical complaints)</t>
  </si>
  <si>
    <t>Q8.4. I don't know which processes might have been used to resolve the complaint</t>
  </si>
  <si>
    <t>Q9. What was your main information source for Service Complaints?</t>
  </si>
  <si>
    <t>Q10. How helpful did you find your training with your involvement with Service Complaints?</t>
  </si>
  <si>
    <t>Q11. In your experience, was the Service Complaints process simple and straightforward?</t>
  </si>
  <si>
    <t>Q12. In your experience, is the Service Complaints process open and transparent?</t>
  </si>
  <si>
    <t>Q13. In your experience, was the Service Complaints process responsive to your particular circumstances (e.g. keeping information confidential, not having access to a computer)</t>
  </si>
  <si>
    <t>Q14. Would you recommend others to use the Service Complaints system?</t>
  </si>
  <si>
    <t>Q15. What kind of Service Complaints user are you?</t>
  </si>
  <si>
    <t>Q16.1. (Complainants only) Was there any information issues that might have caused problems in making a complaint with the necessary timeframe?</t>
  </si>
  <si>
    <t>Q16.2. (Complainants only) Were the reasons for the admissibility decision clearly explained to you?</t>
  </si>
  <si>
    <t>Q16.3. Was there an initial interview to understand the heads of complaint?</t>
  </si>
  <si>
    <t>Q16.4. Were you offered an assisting officer?</t>
  </si>
  <si>
    <t>Q16.5. If so, was the assisting officer helpful?</t>
  </si>
  <si>
    <t>Q16.6. Were there regular and informative updates on the progress of this complaint?</t>
  </si>
  <si>
    <t>Q16.7. In your opinion, was an appropriate amount of evidence collected to enable a fair decision to be made?</t>
  </si>
  <si>
    <t>Q16.8. (Complainants only) Were the decisions on whether to uphold the complaint or not clearly explained?</t>
  </si>
  <si>
    <t>Q17. Were there any issues with how key elements of this process was handled? If so, what were they?</t>
  </si>
  <si>
    <t>Q18. Was my health and well-being affected by the Service complaints process</t>
  </si>
  <si>
    <t>Q19. If your health or well-being was affected, please can you tell us more</t>
  </si>
  <si>
    <t>Q20. How did your colleagues react to you being the complainant/respondent to a Service complaint?</t>
  </si>
  <si>
    <t>Q21. (Complainant only) Was there any information issues that might have caused problems with making a complaint in the necessary time frame</t>
  </si>
  <si>
    <t>Q22. What was the outcome of the Service Complaint you were involved with?</t>
  </si>
  <si>
    <t>Q23. Was the underlying problem solved(e.g. did you get the pay/allowance you were looking for; receive the desired promotion or transfer; have the accommodation problem solved; did the bullying, harassment or discrimination stop?)</t>
  </si>
  <si>
    <t>Q24. As the complainant/ respondent, how satisfied were you with the outcome of this complaint</t>
  </si>
  <si>
    <t>Q25. 25. Have you any further feedback you would like to provide about the Service Complaints process?</t>
  </si>
  <si>
    <t>No</t>
  </si>
  <si>
    <t>Yes</t>
  </si>
  <si>
    <t>Complaints about career management (e.g. promotions)</t>
  </si>
  <si>
    <t>Helpful</t>
  </si>
  <si>
    <t>Assisting Officer</t>
  </si>
  <si>
    <t>-</t>
  </si>
  <si>
    <t>Specified Officer/Commanding Officer in charge of the Service Complaint</t>
  </si>
  <si>
    <t>Other</t>
  </si>
  <si>
    <t>Respondents (i.e. you responded to any allegations made in a Service Complaint - usually only in bullying, harassment or discrimination complaints)</t>
  </si>
  <si>
    <t>Complaints about bullying, harassment or discrimination</t>
  </si>
  <si>
    <t>Complainant (i.e. you made a Service Complaint in writing)</t>
  </si>
  <si>
    <t>They supported me</t>
  </si>
  <si>
    <t>Complaint was fully investigated and the complaint was not upheld</t>
  </si>
  <si>
    <t>Dissatisfied</t>
  </si>
  <si>
    <t>Neutral</t>
  </si>
  <si>
    <t>Other categories of complaints (e.g. manning and discharge; medical and dental; accommodation; discipline; medals)</t>
  </si>
  <si>
    <t>They were disappointed with me</t>
  </si>
  <si>
    <t>Prefer not to say</t>
  </si>
  <si>
    <t>Complaint was not investigated at all</t>
  </si>
  <si>
    <t>Not sure what happened to the complaint</t>
  </si>
  <si>
    <t>There was no reaction</t>
  </si>
  <si>
    <t>Complaint was fully investigated and the complaint was fully or partially upheld</t>
  </si>
  <si>
    <t>I don't know</t>
  </si>
  <si>
    <t>Complaint investigation is still ongoing</t>
  </si>
  <si>
    <t>Complaint was partly investigated but the investigation stopped early as the complaint was resolved/withdrawn</t>
  </si>
  <si>
    <t>Satisfied</t>
  </si>
  <si>
    <t>Complaints about pay, pensions and allowances</t>
  </si>
  <si>
    <t>Presented to Parliament pursuant to Section 340(O) of the Armed Forces Act 2006, as amended by the Armed Forces (Service Complaints and Financial Assistance) Act 2015.</t>
  </si>
  <si>
    <t>Statistical Reference Tables</t>
  </si>
  <si>
    <t>Feedback Survey - Service Complaints</t>
  </si>
  <si>
    <t>Issued by:</t>
  </si>
  <si>
    <t xml:space="preserve">SCOAF statistics </t>
  </si>
  <si>
    <t>Tel:</t>
  </si>
  <si>
    <t>020 7877 3452</t>
  </si>
  <si>
    <t>Table</t>
  </si>
  <si>
    <t>Description</t>
  </si>
  <si>
    <t>Overall Assessment</t>
  </si>
  <si>
    <t>Would you recommend others to use the Service Complaints process</t>
  </si>
  <si>
    <t>Information and assistance in making a Service Complaint</t>
  </si>
  <si>
    <t>3.2</t>
  </si>
  <si>
    <t>Questions on information and training for Service Complaints (only survey responders who have not yet used the Service Complaints process)</t>
  </si>
  <si>
    <t>3.3</t>
  </si>
  <si>
    <t>Was there any information issues that might have caused problems in making a complaint with the necessary timeframe</t>
  </si>
  <si>
    <t>Alternative resolutions pursued prior to the Service Complaints Procedure</t>
  </si>
  <si>
    <t>3.4</t>
  </si>
  <si>
    <t>Do you know if informal chats were used to try to resolve this complaint</t>
  </si>
  <si>
    <t>3.5</t>
  </si>
  <si>
    <t>Do you know if mediation was used to try to resolve this complaint</t>
  </si>
  <si>
    <t>Support for those involved in Service Complaints</t>
  </si>
  <si>
    <t>3.6</t>
  </si>
  <si>
    <t>Were you offered an assisting officer (only complainants and respondents)</t>
  </si>
  <si>
    <t>3.7</t>
  </si>
  <si>
    <t>Was the assisting officer helpful (only complainants and respondents)</t>
  </si>
  <si>
    <t>3.8</t>
  </si>
  <si>
    <t>How did your colleagues react to you being the complainant/respondent to a Service complaint (only complainants and respondents)</t>
  </si>
  <si>
    <t>3.9</t>
  </si>
  <si>
    <t>How helpful did you find your training with your involvement with Service Complaints (only survey responders who have used the Service Complaints process)</t>
  </si>
  <si>
    <t>How well were Service Complaints handled</t>
  </si>
  <si>
    <t>3.10</t>
  </si>
  <si>
    <t>Was the Service Complaints process simple and straightforward?</t>
  </si>
  <si>
    <t>3.11</t>
  </si>
  <si>
    <t>Were the reasons for the admissibility decision clearly explained?</t>
  </si>
  <si>
    <t>3.12</t>
  </si>
  <si>
    <t>Was there an initial interview to understand the heads of complaint?</t>
  </si>
  <si>
    <t>3.13</t>
  </si>
  <si>
    <t>Were there regular and informative updates on the progress of this complaint?</t>
  </si>
  <si>
    <t>3.14</t>
  </si>
  <si>
    <t>Was an appropriate amount of evidence collected to enable a fair decision to be made?</t>
  </si>
  <si>
    <t>3.15</t>
  </si>
  <si>
    <t>Were the decisions on whether to uphold the complaint or not clearly explained?</t>
  </si>
  <si>
    <t>3.17</t>
  </si>
  <si>
    <t>Was the Service Complaints process responsive to your particular circumstances?</t>
  </si>
  <si>
    <t>Outcome</t>
  </si>
  <si>
    <t>3.18</t>
  </si>
  <si>
    <t>How satisfied were you with the outcome of this complaint?</t>
  </si>
  <si>
    <t>3.19</t>
  </si>
  <si>
    <t>Was the underlying problem solved?</t>
  </si>
  <si>
    <t>Impact of Service Complaints process</t>
  </si>
  <si>
    <t>3.20</t>
  </si>
  <si>
    <t>Was my health and well-being affected by the Service Complaints process?</t>
  </si>
  <si>
    <t>Complaint Category</t>
  </si>
  <si>
    <t>Career management</t>
  </si>
  <si>
    <t>Bullying, harassment or discrimination</t>
  </si>
  <si>
    <t>Pay/other/not recorded/declined to say</t>
  </si>
  <si>
    <t>All categories of complaint</t>
  </si>
  <si>
    <t>Type of user</t>
  </si>
  <si>
    <t>Complainant</t>
  </si>
  <si>
    <t>Complaint respondent</t>
  </si>
  <si>
    <t>Other users</t>
  </si>
  <si>
    <t>All users</t>
  </si>
  <si>
    <t>Outcome of Complaint</t>
  </si>
  <si>
    <t>Upheld (fully or partially) in complainant's favour</t>
  </si>
  <si>
    <t>Not upheld in complainant's favour</t>
  </si>
  <si>
    <t>Other outcome*</t>
  </si>
  <si>
    <t>All outcomes</t>
  </si>
  <si>
    <t>* This includes survey responses where the survey responder did not state the outcome of the complaint.</t>
  </si>
  <si>
    <t>Year of Survey</t>
  </si>
  <si>
    <t>Question</t>
  </si>
  <si>
    <t>Do you feel training provides you with adequate awareness of the existence of Service Complaints and the Ombudsman?</t>
  </si>
  <si>
    <t>Did you know in what ways the Ombudsman could help you in the last 12 months?</t>
  </si>
  <si>
    <t>Did you know that JSP831 is a main source of information on Service Complaints?</t>
  </si>
  <si>
    <t>Do you feel information on Service Complaints is easy to find?</t>
  </si>
  <si>
    <t>Complainants and complaint respondents</t>
  </si>
  <si>
    <t>Not Helpful</t>
  </si>
  <si>
    <t>n.a.</t>
  </si>
  <si>
    <t>+ve</t>
  </si>
  <si>
    <t>-ve</t>
  </si>
  <si>
    <t>Chart Label</t>
  </si>
  <si>
    <t>Check</t>
  </si>
  <si>
    <t>CM</t>
  </si>
  <si>
    <t>BHD</t>
  </si>
  <si>
    <t>PPA</t>
  </si>
  <si>
    <t>Comp</t>
  </si>
  <si>
    <t>Resp</t>
  </si>
  <si>
    <t>AO</t>
  </si>
  <si>
    <t>CO</t>
  </si>
  <si>
    <t>Uph</t>
  </si>
  <si>
    <t>Not Uph</t>
  </si>
  <si>
    <t>Other Outcome</t>
  </si>
  <si>
    <t>% had information issues that might have caused problems with making a complaint in the necessary time frame (complainants only)</t>
  </si>
  <si>
    <t>% had information issues that could've caused timing problems with making a complaint (complainants only)</t>
  </si>
  <si>
    <t>% didn't find training helpful with their involvement with Service Complaints?</t>
  </si>
  <si>
    <t>3.2a</t>
  </si>
  <si>
    <t>NON USERS - % feel training provides adequate awareness of the existence of Service Complaints and the Ombudsman</t>
  </si>
  <si>
    <t>3.2b</t>
  </si>
  <si>
    <t>NON USERS - % didn't know the ways the Ombudsman could help?</t>
  </si>
  <si>
    <t>3.2c</t>
  </si>
  <si>
    <t>NON USERS - % didn't know that JSP831 is a main source of information on Service Complaints</t>
  </si>
  <si>
    <t>3.2d</t>
  </si>
  <si>
    <t>NON USERS - % didn't feel information on Service Complaints easy to find</t>
  </si>
  <si>
    <t>% found decisions on whether to uphold the complaint or not were not clearly explained (complainants only)</t>
  </si>
  <si>
    <t>% thought the appropriate amount of evidence was not collected to enable a fair decision to be made (complainants and respondents)</t>
  </si>
  <si>
    <t>% thought there wasn't regular and informative updates on the progress of this complaint (complainants and respondents)</t>
  </si>
  <si>
    <t>% thought that the assisting officer was not helpful (complainants and respondents)</t>
  </si>
  <si>
    <t>% were not offered an assisting officer (complainants and respondents)</t>
  </si>
  <si>
    <t>% lacked an initial interview to understand the heads of complaint (complainants and respondents)</t>
  </si>
  <si>
    <t>% found the reasons for the admissibility decision were not clearly explained (complainants only)</t>
  </si>
  <si>
    <t>% found the Service Complaints process wasn't responsive to your particular circumstances (e.g. keeping information confidential)</t>
  </si>
  <si>
    <t>% found the Service Complaints process wasn't open and transparent?</t>
  </si>
  <si>
    <t>% found the Service Complaints process wasn't simple and straightforward?</t>
  </si>
  <si>
    <t>% found the underlying problem was not solved (complainants and respondents)</t>
  </si>
  <si>
    <t>% were dissatisfied with the outcome of this complaint (complainants and respondents)</t>
  </si>
  <si>
    <t>% found their colleagues were disappointed with them being the complainant/respondent to a Service complaint</t>
  </si>
  <si>
    <t>% found their health and well-being was affected by the Service complaints process (complainants and respondents)</t>
  </si>
  <si>
    <t>% would not recommend others to use the Service Complaints system</t>
  </si>
  <si>
    <t>=COUNTIFS(RawDataTabl[Q8.1. Informal chats],"Yes",</t>
  </si>
  <si>
    <t>RawDataTabl[Q1. Were you involved with a Service Complaint in the last 12 months, either as a complainant, a respondent, an assisting officer or as a specified officer/commanding officer?],"Yes")</t>
  </si>
  <si>
    <t>/</t>
  </si>
  <si>
    <t>COUNTIFS(RawDataTabl[Q8.1. Informal chats],"&lt;&gt;Prefer not to say",</t>
  </si>
  <si>
    <t>RawDataTabl[Q8.1. Informal chats],"&lt;&gt;-",</t>
  </si>
  <si>
    <t>Count of UserID</t>
  </si>
  <si>
    <t>Column Labels</t>
  </si>
  <si>
    <t>Row Labels</t>
  </si>
  <si>
    <t>Grand Total</t>
  </si>
  <si>
    <t>Chart of negative response in Service Complaints User Feedback Survey, January - December 2021</t>
  </si>
  <si>
    <t>Table 3.1a: Would you recommend others to use the Service Complaints process, by category of complaint, 2023</t>
  </si>
  <si>
    <t>Table 3.1b: Would you recommend others to use the Service Complaints process, by type of user, 2023</t>
  </si>
  <si>
    <t>Table 3.1c: Would you recommend others to use the Service Complaints process, by outcome of complaint, 2023</t>
  </si>
  <si>
    <t>Table 3.1d: Would you recommend others to use the Service Complaints process, 2021 - 2023</t>
  </si>
  <si>
    <t>Table 3.2: Questions on information and training for Service Complaints (Only survey responders who have not yet used the Service Complaints process), 2023</t>
  </si>
  <si>
    <t>Table 3.3a: Was there any information issues that might have caused problems in making a complaint with the necessary timeframe (complainants only), by category of complaint, 2023</t>
  </si>
  <si>
    <t>Table 3.3b: Was there any information issues that might have caused problems in making a complaint with the necessary timeframe (complainants only), by outcome of complaint, 2023</t>
  </si>
  <si>
    <t>Table 3.3c: Was there any information issues that might have caused problems in making a complaint with the necessary timeframe (complainants only), 2021 - 2023</t>
  </si>
  <si>
    <t>Table 3.6b: Were you offered an assisting officer (Complainants and Respondents only), by type of user, 2023</t>
  </si>
  <si>
    <t>Table 3.6c: Were you offered an assisting officer (Complainants and Respondents only), by outcome of complaint, 2023</t>
  </si>
  <si>
    <t>Table 3.6d: Were you offered an assisting officer (Complainants and Respondents only), 2021 - 2023</t>
  </si>
  <si>
    <t>Table 3.7a: Was the assisting officer helpful (only complainants and respondents), by category of complaint, 2023</t>
  </si>
  <si>
    <t>Table 3.7b: Was the assisting officer helpful (only complainants and respondents), by type of user, 2023</t>
  </si>
  <si>
    <t>Table 3.7c: Was the assisting officer helpful (only complainants and respondents), by outcome of complaint, 2023</t>
  </si>
  <si>
    <t>Table 3.7d: Was the assisting officer helpful (only complainants and respondents), 2021 - 2023</t>
  </si>
  <si>
    <t>Table 3.8a: How did your colleagues react to you being the complainant/respondent to a Service complaint (Complainants and Respondents only), by category of complaint, 2023</t>
  </si>
  <si>
    <t>Table 3.8b: How did your colleagues react to you being the complainant/respondent to a Service complaint (Complainants and Respondents only), by type of user, 2023</t>
  </si>
  <si>
    <t>Table 3.8c: How did your colleagues react to you being the complainant/respondent to a Service complaint (Complainants and Respondents only), by outcome of complaint, 2023</t>
  </si>
  <si>
    <t>Table 3.8d: How did your colleagues react to you being the complainant/respondent to a Service complaint (Complainants and Respondents only), 2021 - 2023</t>
  </si>
  <si>
    <t>Table 3.9a: How helpful did you find your training with your involvement with Service Complaints, by category of complaint, 2023</t>
  </si>
  <si>
    <t>Table 3.9b: How helpful did you find your training with your involvement with Service Complaints, by type of user, 2023</t>
  </si>
  <si>
    <t>Table 3.9c: How helpful did you find your training with your involvement with Service Complaints, by outcome of complaint, 2023</t>
  </si>
  <si>
    <t>Table 3.9d: How helpful did you find your training with your involvement with Service Complaints, 2021 - 2023</t>
  </si>
  <si>
    <t>Table 3.10a: In your experience, was the Service Complaints process simple and straightforward, by category of complaint, 2023</t>
  </si>
  <si>
    <t>Table 3.10b: In your experience, was the Service Complaints process simple and straightforward, by type of user, 2023</t>
  </si>
  <si>
    <t>Table 3.10c: In your experience, was the Service Complaints process simple and straightforward, by outcome of complaint, 2023</t>
  </si>
  <si>
    <t>Table 3.10d: In your experience, was the Service Complaints process simple and straightforward, 2021 - 2023</t>
  </si>
  <si>
    <t>Table 3.11a: Were the reasons for the admissibility decision clearly explained to you (complainants only), by category of complaint, 2023</t>
  </si>
  <si>
    <t>Table 3.11b: Were the reasons for the admissibility decision clearly explained to you (complainants only), by outcome of complaint, 2023</t>
  </si>
  <si>
    <t>Table 3.11c: Were the reasons for the admissibility decision clearly explained to you (complainants only), 2021 - 2023</t>
  </si>
  <si>
    <t>Table 3.12a: Was there an initial interview to understand the heads of complaint (Complainants and Respondents only), by category of complaint, 2023</t>
  </si>
  <si>
    <t>Table 3.12b: Was there an initial interview to understand the heads of complaint (Complainants and Respondents only), by type of user, 2023</t>
  </si>
  <si>
    <t>Table 3.12c: Was there an initial interview to understand the heads of complaint (Complainants and Respondents only), by outcome of complaint, 2023</t>
  </si>
  <si>
    <t>Table 3.12d: Was there an initial interview to understand the heads of complaint (Complainants and Respondents only), 2021 - 2023</t>
  </si>
  <si>
    <t>Table 3.13a: Were there regular and informative updates on the progress of this complaint (Complainants and Respondents only), by category of complaint, 2023</t>
  </si>
  <si>
    <t>Table 3.13b: Were there regular and informative updates on the progress of this complaint (Complainants and Respondents only), by type of user, 2023</t>
  </si>
  <si>
    <t>Table 3.13c: Were there regular and informative updates on the progress of this complaint (Complainants and Respondents only), by outcome of complaint, 2023</t>
  </si>
  <si>
    <t>Table 3.13d: Were there regular and informative updates on the progress of this complaint (Complainants and Respondents only), 2021 - 2023</t>
  </si>
  <si>
    <t>Table 3.14a: In your opinion, was an appropriate amount of evidence collected to enable a fair decision to be made (Complainants and Respondents only), by category of complaint, 2023</t>
  </si>
  <si>
    <t>Table 3.14b: In your opinion, was an appropriate amount of evidence collected to enable a fair decision to be made (Complainants and Respondents only), by type of user, 2023</t>
  </si>
  <si>
    <t>Table 3.14c: In your opinion, was an appropriate amount of evidence collected to enable a fair decision to be made (Complainants and Respondents only), by outcome of complaint, 2023</t>
  </si>
  <si>
    <t>Table 3.14d: In your opinion, was an appropriate amount of evidence collected to enable a fair decision to be made (Complainants and Respondents only), 2021 - 2023</t>
  </si>
  <si>
    <t>Table 3.15c: Were the decisions on whether to uphold the complaint or not clearly explained (complainants only), 2021 - 2023</t>
  </si>
  <si>
    <t>Table 3.17a: In your experience, was the Service Complaints process responsive to your particular circumstances (e.g. keeping information confidential, not having access to a computer), by category of complaint, 2023</t>
  </si>
  <si>
    <t>Table 3.17b: In your experience, was the Service Complaints process responsive to your particular circumstances (e.g. keeping information confidential, not having access to a computer), by type of user, 2023</t>
  </si>
  <si>
    <t>Table 3.17c: In your experience, was the Service Complaints process responsive to your particular circumstances (e.g. keeping information confidential, not having access to a computer), by outcome of complaint, 2023</t>
  </si>
  <si>
    <t>Table 3.17d: In your experience, was the Service Complaints process responsive to your particular circumstances (e.g. keeping information confidential, not having access to a computer), 2021 - 2023</t>
  </si>
  <si>
    <t>Table 3.18a: How satisfied were you with the outcome of this complaint (Complainants and Respondents only), by category of complaint, 2023</t>
  </si>
  <si>
    <t>Table 3.18b: How satisfied were you with the outcome of this complaint (Complainants and Respondents only), by type of user, 2023</t>
  </si>
  <si>
    <t>Table 3.18c: How satisfied were you with the outcome of this complaint (Complainants and Respondents only), by outcome of complaint, 2023</t>
  </si>
  <si>
    <t>Table 3.18d: How satisfied were you with the outcome of this complaint (Complainants and Respondents only), 2021 - 2023</t>
  </si>
  <si>
    <t>Table 3.19a: Was the underlying problem solved (Complainants and Respondents only), by category of complaint, 2023</t>
  </si>
  <si>
    <t>Table 3.19b: Was the underlying problem solved (Complainants and Respondents only), by type of user, 2023</t>
  </si>
  <si>
    <t>Table 3.19c: Was the underlying problem solved (Complainants and Respondents only), by outcome of complaint, 2023</t>
  </si>
  <si>
    <t>Table 3.19d: Was the underlying problem solved (Complainants and Respondents only), 2021 - 2023</t>
  </si>
  <si>
    <t>Table 3.20a: Was my health and well-being affected by the Service Complaints process (Complainants and Respondents only), by category of complaint, 2023</t>
  </si>
  <si>
    <t>Table 3.20b: Was my health and well-being affected by the Service Complaints process (Complainants and Respondents only), by type of user, 2023</t>
  </si>
  <si>
    <t>Table 3.20c: Was my health and well-being affected by the Service complaints process (Complainants and Respondents only), by outcome of complaint, 2023</t>
  </si>
  <si>
    <t>Table 3.20d: Was my health and well-being affected by the Service complaints process (Complainants and Respondents only), 2021 - 2023</t>
  </si>
  <si>
    <t>Tables 3.1 - 3.20</t>
  </si>
  <si>
    <t>Table 3.4a: Do you know if informal chats were used to try to resolve this complaint, by category of complaint, 2023</t>
  </si>
  <si>
    <t>Table 3.4b: Do you know if informal chats were used to try to resolve this complaint, by type of user, 2023</t>
  </si>
  <si>
    <t>Table 3.4c: Do you know if informal chats were used to try to resolve this complaint,  by outcome of complaint, 2023</t>
  </si>
  <si>
    <t>Table 3.4d: Do you know if informal chats were used to try to resolve this complaint, 2021 - 2023</t>
  </si>
  <si>
    <t>Table 3.5a: Do you know if mediation was used to try to resolve this complaint, by category of complaint, 2023</t>
  </si>
  <si>
    <t>Table 3.5b: Do you know if mediation was used to try to resolve this complaint, by type of user, 2023</t>
  </si>
  <si>
    <t>Table 3.5c: Do you know if mediation was used to try to resolve this complaint, by outcome of complaint, 2023</t>
  </si>
  <si>
    <t>Table 3.5d: Do you know if mediation was used to try to resolve this complaint, by outcome of complaint, 2021 - 2023</t>
  </si>
  <si>
    <r>
      <rPr>
        <vertAlign val="superscript"/>
        <sz val="10"/>
        <rFont val="Arial"/>
        <family val="2"/>
      </rPr>
      <t xml:space="preserve">1 </t>
    </r>
    <r>
      <rPr>
        <sz val="10"/>
        <rFont val="Arial"/>
        <family val="2"/>
      </rPr>
      <t>Excluding responses other than "Yes" or "No" and excluding those who did not answer the question.</t>
    </r>
  </si>
  <si>
    <r>
      <rPr>
        <vertAlign val="superscript"/>
        <sz val="10"/>
        <rFont val="Arial"/>
        <family val="2"/>
      </rPr>
      <t>1</t>
    </r>
    <r>
      <rPr>
        <sz val="10"/>
        <rFont val="Arial"/>
        <family val="2"/>
      </rPr>
      <t xml:space="preserve"> Excluding responses other than "They supported me", "There was no reaction"or "They were disappointed with me"  and excluding those who did not answer the question.</t>
    </r>
  </si>
  <si>
    <r>
      <rPr>
        <vertAlign val="superscript"/>
        <sz val="10"/>
        <rFont val="Arial"/>
        <family val="2"/>
      </rPr>
      <t>1</t>
    </r>
    <r>
      <rPr>
        <sz val="10"/>
        <rFont val="Arial"/>
        <family val="2"/>
      </rPr>
      <t xml:space="preserve"> Excluding responses other than "Helpful", "Neutral"or "Not Helpful"  and excluding those who did not answer the question.</t>
    </r>
  </si>
  <si>
    <r>
      <t>13%</t>
    </r>
    <r>
      <rPr>
        <b/>
        <vertAlign val="superscript"/>
        <sz val="11"/>
        <rFont val="Arial"/>
        <family val="2"/>
      </rPr>
      <t>2</t>
    </r>
  </si>
  <si>
    <r>
      <t>19%</t>
    </r>
    <r>
      <rPr>
        <b/>
        <vertAlign val="superscript"/>
        <sz val="11"/>
        <rFont val="Arial"/>
        <family val="2"/>
      </rPr>
      <t>2</t>
    </r>
  </si>
  <si>
    <r>
      <t>67%</t>
    </r>
    <r>
      <rPr>
        <b/>
        <vertAlign val="superscript"/>
        <sz val="11"/>
        <rFont val="Arial"/>
        <family val="2"/>
      </rPr>
      <t>2</t>
    </r>
  </si>
  <si>
    <r>
      <t>11%</t>
    </r>
    <r>
      <rPr>
        <vertAlign val="superscript"/>
        <sz val="11"/>
        <rFont val="Arial"/>
        <family val="2"/>
      </rPr>
      <t>2</t>
    </r>
  </si>
  <si>
    <r>
      <t>17%</t>
    </r>
    <r>
      <rPr>
        <vertAlign val="superscript"/>
        <sz val="11"/>
        <rFont val="Arial"/>
        <family val="2"/>
      </rPr>
      <t>2</t>
    </r>
  </si>
  <si>
    <r>
      <t>71%</t>
    </r>
    <r>
      <rPr>
        <vertAlign val="superscript"/>
        <sz val="11"/>
        <rFont val="Arial"/>
        <family val="2"/>
      </rPr>
      <t>2</t>
    </r>
  </si>
  <si>
    <r>
      <t>9%</t>
    </r>
    <r>
      <rPr>
        <vertAlign val="superscript"/>
        <sz val="11"/>
        <rFont val="Arial"/>
        <family val="2"/>
      </rPr>
      <t>2</t>
    </r>
  </si>
  <si>
    <r>
      <t>18%</t>
    </r>
    <r>
      <rPr>
        <vertAlign val="superscript"/>
        <sz val="11"/>
        <rFont val="Arial"/>
        <family val="2"/>
      </rPr>
      <t>2</t>
    </r>
  </si>
  <si>
    <r>
      <t>74%</t>
    </r>
    <r>
      <rPr>
        <vertAlign val="superscript"/>
        <sz val="11"/>
        <rFont val="Arial"/>
        <family val="2"/>
      </rPr>
      <t>2</t>
    </r>
  </si>
  <si>
    <r>
      <t>12%</t>
    </r>
    <r>
      <rPr>
        <vertAlign val="superscript"/>
        <sz val="11"/>
        <rFont val="Arial"/>
        <family val="2"/>
      </rPr>
      <t>2</t>
    </r>
  </si>
  <si>
    <r>
      <t>31%</t>
    </r>
    <r>
      <rPr>
        <vertAlign val="superscript"/>
        <sz val="11"/>
        <rFont val="Arial"/>
        <family val="2"/>
      </rPr>
      <t>2</t>
    </r>
  </si>
  <si>
    <r>
      <t>58%</t>
    </r>
    <r>
      <rPr>
        <vertAlign val="superscript"/>
        <sz val="11"/>
        <rFont val="Arial"/>
        <family val="2"/>
      </rPr>
      <t>2</t>
    </r>
  </si>
  <si>
    <t>Table 3.15a: Were the decisions on whether to uphold the complaint or not clearly explained (complainants only), by category of complaint, 2023</t>
  </si>
  <si>
    <t>Table 3.15b: Were the decisions on whether to uphold the complaint or not clearly explained (complainants only), by outcome of complaint, 2023</t>
  </si>
  <si>
    <r>
      <t>7%</t>
    </r>
    <r>
      <rPr>
        <b/>
        <vertAlign val="superscript"/>
        <sz val="11"/>
        <rFont val="Arial"/>
        <family val="2"/>
      </rPr>
      <t>2</t>
    </r>
  </si>
  <si>
    <r>
      <t>11%</t>
    </r>
    <r>
      <rPr>
        <b/>
        <vertAlign val="superscript"/>
        <sz val="11"/>
        <rFont val="Arial"/>
        <family val="2"/>
      </rPr>
      <t>2</t>
    </r>
  </si>
  <si>
    <r>
      <t>83%</t>
    </r>
    <r>
      <rPr>
        <b/>
        <vertAlign val="superscript"/>
        <sz val="11"/>
        <rFont val="Arial"/>
        <family val="2"/>
      </rPr>
      <t>2</t>
    </r>
  </si>
  <si>
    <r>
      <t>3%</t>
    </r>
    <r>
      <rPr>
        <vertAlign val="superscript"/>
        <sz val="11"/>
        <rFont val="Arial"/>
        <family val="2"/>
      </rPr>
      <t>2</t>
    </r>
  </si>
  <si>
    <r>
      <t>89%</t>
    </r>
    <r>
      <rPr>
        <vertAlign val="superscript"/>
        <sz val="11"/>
        <rFont val="Arial"/>
        <family val="2"/>
      </rPr>
      <t>2</t>
    </r>
  </si>
  <si>
    <r>
      <t>16%</t>
    </r>
    <r>
      <rPr>
        <vertAlign val="superscript"/>
        <sz val="11"/>
        <rFont val="Arial"/>
        <family val="2"/>
      </rPr>
      <t>2</t>
    </r>
  </si>
  <si>
    <r>
      <rPr>
        <vertAlign val="superscript"/>
        <sz val="10"/>
        <rFont val="Arial"/>
        <family val="2"/>
      </rPr>
      <t>2</t>
    </r>
    <r>
      <rPr>
        <sz val="10"/>
        <rFont val="Arial"/>
        <family val="2"/>
      </rPr>
      <t xml:space="preserve"> Figures for % Satisfied, % Neutral and % Dissatisfied may not sum up to 100% due to rounding.</t>
    </r>
  </si>
  <si>
    <r>
      <rPr>
        <vertAlign val="superscript"/>
        <sz val="10"/>
        <rFont val="Arial"/>
        <family val="2"/>
      </rPr>
      <t>1</t>
    </r>
    <r>
      <rPr>
        <sz val="10"/>
        <rFont val="Arial"/>
        <family val="2"/>
      </rPr>
      <t xml:space="preserve"> Excluding responses other than "Satisfied", "Neutral"or "Dissatisfied"  and excluding those who did not answer the question.</t>
    </r>
  </si>
  <si>
    <r>
      <rPr>
        <vertAlign val="superscript"/>
        <sz val="10"/>
        <rFont val="Arial"/>
        <family val="2"/>
      </rPr>
      <t>2</t>
    </r>
    <r>
      <rPr>
        <sz val="10"/>
        <rFont val="Arial"/>
        <family val="2"/>
      </rPr>
      <t xml:space="preserve"> Figures for % Helpful, % Neutral and % Not Helpful may not sum up to 100% due to rounding.</t>
    </r>
  </si>
  <si>
    <r>
      <rPr>
        <vertAlign val="superscript"/>
        <sz val="9"/>
        <rFont val="Arial"/>
        <family val="2"/>
      </rPr>
      <t xml:space="preserve">1 </t>
    </r>
    <r>
      <rPr>
        <sz val="9"/>
        <rFont val="Arial"/>
        <family val="2"/>
      </rPr>
      <t>Excluding responses other than "Yes" or "No" and excluding those who did not answer the question.</t>
    </r>
  </si>
  <si>
    <r>
      <t>% of responses</t>
    </r>
    <r>
      <rPr>
        <vertAlign val="superscript"/>
        <sz val="11"/>
        <rFont val="Arial"/>
        <family val="2"/>
      </rPr>
      <t>1</t>
    </r>
    <r>
      <rPr>
        <sz val="11"/>
        <rFont val="Arial"/>
        <family val="2"/>
      </rPr>
      <t xml:space="preserve"> that were "Yes" or "No"</t>
    </r>
  </si>
  <si>
    <r>
      <t>% of responses</t>
    </r>
    <r>
      <rPr>
        <vertAlign val="superscript"/>
        <sz val="11"/>
        <rFont val="Arial"/>
        <family val="2"/>
      </rPr>
      <t>1</t>
    </r>
    <r>
      <rPr>
        <sz val="11"/>
        <rFont val="Arial"/>
        <family val="2"/>
      </rPr>
      <t xml:space="preserve"> that were "Helpful", "Neutral" or "Not Helpful"</t>
    </r>
  </si>
  <si>
    <r>
      <t>% of responses</t>
    </r>
    <r>
      <rPr>
        <vertAlign val="superscript"/>
        <sz val="11"/>
        <rFont val="Arial"/>
        <family val="2"/>
      </rPr>
      <t>1</t>
    </r>
    <r>
      <rPr>
        <sz val="11"/>
        <rFont val="Arial"/>
        <family val="2"/>
      </rPr>
      <t xml:space="preserve"> that were "They supported me", "There was no reaction" or "They were disappointed with me"</t>
    </r>
  </si>
  <si>
    <t>% of responses1 that were "They supported me", "There was no reaction" or "They were disappointed with me"</t>
  </si>
  <si>
    <r>
      <t>% of responses</t>
    </r>
    <r>
      <rPr>
        <vertAlign val="superscript"/>
        <sz val="11"/>
        <rFont val="Arial"/>
        <family val="2"/>
      </rPr>
      <t>1</t>
    </r>
    <r>
      <rPr>
        <sz val="11"/>
        <rFont val="Arial"/>
        <family val="2"/>
      </rPr>
      <t xml:space="preserve"> that were "Satisfied", "Neutral" or "Dissatisfied"</t>
    </r>
  </si>
  <si>
    <t>[n.a.] Figures not calculated due to low sample size</t>
  </si>
  <si>
    <t>[n.a.]</t>
  </si>
  <si>
    <t>Is the Service Complaints process open and transparent? (Figures are not available)*</t>
  </si>
  <si>
    <t>Source: Service Complaints User Feedback Survey (of both individuals approaching SCOAF and that met SCOAF on Outreach visits)</t>
  </si>
  <si>
    <t>Note: Figures presented in these tables have been produced in the spirit of the Code of Practice for Official Statistics</t>
  </si>
  <si>
    <t>[n.a.] Figures not calculate due to low sample size</t>
  </si>
  <si>
    <r>
      <t>Table 3.6a: Were you offered an assisting officer</t>
    </r>
    <r>
      <rPr>
        <b/>
        <vertAlign val="superscript"/>
        <sz val="11"/>
        <rFont val="Arial"/>
        <family val="2"/>
      </rPr>
      <t>1</t>
    </r>
    <r>
      <rPr>
        <b/>
        <sz val="11"/>
        <rFont val="Arial"/>
        <family val="2"/>
      </rPr>
      <t xml:space="preserve"> (Complainants and Respondents only), by category of complaint, 2023</t>
    </r>
  </si>
  <si>
    <r>
      <t>% of responses</t>
    </r>
    <r>
      <rPr>
        <vertAlign val="superscript"/>
        <sz val="11"/>
        <rFont val="Arial"/>
        <family val="2"/>
      </rPr>
      <t>2</t>
    </r>
    <r>
      <rPr>
        <sz val="11"/>
        <rFont val="Arial"/>
        <family val="2"/>
      </rPr>
      <t xml:space="preserve"> that were "Yes" or "No"</t>
    </r>
  </si>
  <si>
    <r>
      <rPr>
        <vertAlign val="superscript"/>
        <sz val="10"/>
        <rFont val="Arial"/>
        <family val="2"/>
      </rPr>
      <t xml:space="preserve">2 </t>
    </r>
    <r>
      <rPr>
        <sz val="10"/>
        <rFont val="Arial"/>
        <family val="2"/>
      </rPr>
      <t>Excluding responses other than "Yes" or "No" and excluding those who did not answer the question.</t>
    </r>
  </si>
  <si>
    <r>
      <rPr>
        <vertAlign val="superscript"/>
        <sz val="10"/>
        <rFont val="Arial"/>
        <family val="2"/>
      </rPr>
      <t>1</t>
    </r>
    <r>
      <rPr>
        <sz val="10"/>
        <rFont val="Arial"/>
        <family val="2"/>
      </rPr>
      <t xml:space="preserve"> Many survey respondents interpret this question as  concerning whether they used an assisting officer rather were offered an assisting officer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</si>
</sst>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font>
      <sz val="11"/>
      <name val="Calibri"/>
    </font>
    <font>
      <sz val="11"/>
      <color theme="1"/>
      <name val="Calibri"/>
      <family val="2"/>
      <scheme val="minor"/>
    </font>
    <font>
      <sz val="11"/>
      <color theme="1"/>
      <name val="Calibri"/>
      <family val="2"/>
      <scheme val="minor"/>
    </font>
    <font>
      <sz val="11"/>
      <name val="Calibri"/>
      <family val="2"/>
    </font>
    <font>
      <sz val="11"/>
      <color theme="1"/>
      <name val="Calibri"/>
      <family val="2"/>
    </font>
    <font>
      <b/>
      <sz val="11"/>
      <name val="Calibri"/>
      <family val="2"/>
    </font>
    <font>
      <i/>
      <sz val="11"/>
      <color theme="0" tint="-0.499984740745262"/>
      <name val="Calibri"/>
      <family val="2"/>
    </font>
    <font>
      <sz val="11"/>
      <color rgb="FFFF0000"/>
      <name val="Calibri"/>
      <family val="2"/>
    </font>
    <font>
      <b/>
      <sz val="11"/>
      <color rgb="FFFF0000"/>
      <name val="Calibri"/>
      <family val="2"/>
    </font>
    <font>
      <b/>
      <sz val="11"/>
      <color theme="1"/>
      <name val="Calibri"/>
      <family val="2"/>
    </font>
    <font>
      <strike/>
      <sz val="11"/>
      <name val="Calibri"/>
      <family val="2"/>
    </font>
    <font>
      <b/>
      <sz val="24"/>
      <color theme="1"/>
      <name val="Arial"/>
      <family val="2"/>
    </font>
    <font>
      <sz val="11"/>
      <color theme="1"/>
      <name val="Arial"/>
      <family val="2"/>
    </font>
    <font>
      <sz val="16"/>
      <color theme="1"/>
      <name val="Arial"/>
      <family val="2"/>
    </font>
    <font>
      <b/>
      <sz val="11"/>
      <color theme="1"/>
      <name val="Arial"/>
      <family val="2"/>
    </font>
    <font>
      <u/>
      <sz val="11"/>
      <color theme="10"/>
      <name val="Calibri"/>
      <family val="2"/>
      <scheme val="minor"/>
    </font>
    <font>
      <b/>
      <sz val="11"/>
      <color rgb="FF0070C0"/>
      <name val="Arial"/>
      <family val="2"/>
    </font>
    <font>
      <u/>
      <sz val="11"/>
      <color theme="1"/>
      <name val="Arial"/>
      <family val="2"/>
    </font>
    <font>
      <sz val="11"/>
      <name val="Arial"/>
      <family val="2"/>
    </font>
    <font>
      <vertAlign val="superscript"/>
      <sz val="11"/>
      <name val="Arial"/>
      <family val="2"/>
    </font>
    <font>
      <b/>
      <sz val="11"/>
      <name val="Arial"/>
      <family val="2"/>
    </font>
    <font>
      <sz val="10"/>
      <name val="Arial"/>
      <family val="2"/>
    </font>
    <font>
      <vertAlign val="superscript"/>
      <sz val="10"/>
      <name val="Arial"/>
      <family val="2"/>
    </font>
    <font>
      <b/>
      <vertAlign val="superscript"/>
      <sz val="11"/>
      <name val="Arial"/>
      <family val="2"/>
    </font>
    <font>
      <sz val="9"/>
      <name val="Arial"/>
      <family val="2"/>
    </font>
    <font>
      <vertAlign val="superscript"/>
      <sz val="9"/>
      <name val="Arial"/>
      <family val="2"/>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tted">
        <color indexed="64"/>
      </right>
      <top/>
      <bottom style="thin">
        <color indexed="64"/>
      </bottom>
      <diagonal/>
    </border>
    <border>
      <left style="dotted">
        <color indexed="64"/>
      </left>
      <right/>
      <top/>
      <bottom/>
      <diagonal/>
    </border>
    <border>
      <left style="dotted">
        <color indexed="64"/>
      </left>
      <right/>
      <top style="thin">
        <color indexed="64"/>
      </top>
      <bottom/>
      <diagonal/>
    </border>
    <border>
      <left style="dotted">
        <color indexed="64"/>
      </left>
      <right/>
      <top/>
      <bottom style="thin">
        <color indexed="64"/>
      </bottom>
      <diagonal/>
    </border>
  </borders>
  <cellStyleXfs count="7">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15" fillId="0" borderId="0" applyNumberFormat="0" applyFill="0" applyBorder="0" applyAlignment="0" applyProtection="0"/>
    <xf numFmtId="0" fontId="1" fillId="0" borderId="0"/>
    <xf numFmtId="9" fontId="1" fillId="0" borderId="0" applyFont="0" applyFill="0" applyBorder="0" applyAlignment="0" applyProtection="0"/>
  </cellStyleXfs>
  <cellXfs count="242">
    <xf numFmtId="0" fontId="0" fillId="0" borderId="0" xfId="0"/>
    <xf numFmtId="0" fontId="0" fillId="0" borderId="0" xfId="0" applyAlignment="1">
      <alignment wrapText="1"/>
    </xf>
    <xf numFmtId="0" fontId="5" fillId="0" borderId="1" xfId="0" applyFont="1" applyBorder="1" applyAlignment="1">
      <alignment wrapText="1"/>
    </xf>
    <xf numFmtId="0" fontId="5" fillId="0" borderId="1" xfId="0" quotePrefix="1" applyFont="1" applyBorder="1" applyAlignment="1">
      <alignment horizontal="right" wrapText="1"/>
    </xf>
    <xf numFmtId="0" fontId="5" fillId="0" borderId="1" xfId="0" applyFont="1" applyBorder="1" applyAlignment="1">
      <alignment horizontal="right" wrapText="1"/>
    </xf>
    <xf numFmtId="0" fontId="0" fillId="0" borderId="0" xfId="0" applyAlignment="1">
      <alignment horizontal="right"/>
    </xf>
    <xf numFmtId="0" fontId="5" fillId="0" borderId="0" xfId="0" applyFont="1" applyAlignment="1">
      <alignment horizontal="right" wrapText="1"/>
    </xf>
    <xf numFmtId="0" fontId="0" fillId="0" borderId="1" xfId="0" applyBorder="1" applyAlignment="1">
      <alignment horizontal="right" wrapText="1"/>
    </xf>
    <xf numFmtId="0" fontId="0" fillId="0" borderId="3" xfId="0" applyBorder="1"/>
    <xf numFmtId="0" fontId="0" fillId="0" borderId="4" xfId="0" applyBorder="1" applyAlignment="1">
      <alignment horizontal="right"/>
    </xf>
    <xf numFmtId="0" fontId="0" fillId="0" borderId="5" xfId="0" applyBorder="1"/>
    <xf numFmtId="0" fontId="0" fillId="0" borderId="1" xfId="0" applyBorder="1" applyAlignment="1">
      <alignment horizontal="right"/>
    </xf>
    <xf numFmtId="0" fontId="0" fillId="0" borderId="6" xfId="0" applyBorder="1" applyAlignment="1">
      <alignment horizontal="right"/>
    </xf>
    <xf numFmtId="0" fontId="0" fillId="0" borderId="4" xfId="0" applyBorder="1"/>
    <xf numFmtId="0" fontId="0" fillId="0" borderId="6" xfId="0" applyBorder="1"/>
    <xf numFmtId="0" fontId="6" fillId="0" borderId="3" xfId="0" applyFont="1" applyBorder="1"/>
    <xf numFmtId="0" fontId="6" fillId="0" borderId="0" xfId="0" applyFont="1" applyAlignment="1">
      <alignment horizontal="right"/>
    </xf>
    <xf numFmtId="0" fontId="6" fillId="0" borderId="4" xfId="0" applyFont="1" applyBorder="1"/>
    <xf numFmtId="0" fontId="6" fillId="0" borderId="5" xfId="0" applyFont="1" applyBorder="1"/>
    <xf numFmtId="0" fontId="6" fillId="0" borderId="1" xfId="0" applyFont="1" applyBorder="1" applyAlignment="1">
      <alignment horizontal="right"/>
    </xf>
    <xf numFmtId="0" fontId="6" fillId="0" borderId="6" xfId="0" applyFont="1" applyBorder="1"/>
    <xf numFmtId="0" fontId="0" fillId="0" borderId="3" xfId="0" applyBorder="1" applyAlignment="1">
      <alignment horizontal="right"/>
    </xf>
    <xf numFmtId="0" fontId="0" fillId="0" borderId="5" xfId="0" applyBorder="1" applyAlignment="1">
      <alignment horizontal="right"/>
    </xf>
    <xf numFmtId="0" fontId="6" fillId="0" borderId="3" xfId="0" applyFont="1" applyBorder="1" applyAlignment="1">
      <alignment horizontal="right"/>
    </xf>
    <xf numFmtId="0" fontId="6" fillId="0" borderId="4" xfId="0" applyFont="1" applyBorder="1" applyAlignment="1">
      <alignment horizontal="right"/>
    </xf>
    <xf numFmtId="0" fontId="6" fillId="0" borderId="5" xfId="0" applyFont="1" applyBorder="1" applyAlignment="1">
      <alignment horizontal="right"/>
    </xf>
    <xf numFmtId="0" fontId="6" fillId="0" borderId="6" xfId="0" applyFont="1" applyBorder="1" applyAlignment="1">
      <alignment horizontal="right"/>
    </xf>
    <xf numFmtId="0" fontId="5" fillId="0" borderId="7" xfId="0" applyFont="1" applyBorder="1" applyAlignment="1">
      <alignment wrapText="1"/>
    </xf>
    <xf numFmtId="0" fontId="5" fillId="0" borderId="7" xfId="0" applyFont="1" applyBorder="1" applyAlignment="1">
      <alignment horizontal="right" wrapText="1"/>
    </xf>
    <xf numFmtId="0" fontId="5" fillId="0" borderId="8" xfId="0" applyFont="1" applyBorder="1" applyAlignment="1">
      <alignment horizontal="right" wrapText="1"/>
    </xf>
    <xf numFmtId="0" fontId="5" fillId="0" borderId="9" xfId="0" applyFont="1" applyBorder="1" applyAlignment="1">
      <alignment horizontal="right" wrapText="1"/>
    </xf>
    <xf numFmtId="0" fontId="0" fillId="2" borderId="3" xfId="0" applyFill="1" applyBorder="1"/>
    <xf numFmtId="9" fontId="0" fillId="2" borderId="4" xfId="2" applyFont="1" applyFill="1" applyBorder="1" applyAlignment="1" applyProtection="1">
      <alignment horizontal="right"/>
    </xf>
    <xf numFmtId="9" fontId="0" fillId="0" borderId="4" xfId="2" applyFont="1" applyFill="1" applyBorder="1" applyAlignment="1" applyProtection="1">
      <alignment horizontal="right"/>
    </xf>
    <xf numFmtId="9" fontId="0" fillId="0" borderId="0" xfId="2" applyFont="1" applyFill="1" applyBorder="1" applyAlignment="1" applyProtection="1">
      <alignment horizontal="right"/>
    </xf>
    <xf numFmtId="9" fontId="0" fillId="0" borderId="3" xfId="2" applyFont="1" applyFill="1" applyBorder="1" applyAlignment="1" applyProtection="1">
      <alignment horizontal="right"/>
    </xf>
    <xf numFmtId="0" fontId="0" fillId="0" borderId="12" xfId="0" applyBorder="1"/>
    <xf numFmtId="9" fontId="0" fillId="0" borderId="12" xfId="2" applyFont="1" applyBorder="1" applyProtection="1"/>
    <xf numFmtId="0" fontId="0" fillId="0" borderId="13" xfId="0" applyBorder="1" applyAlignment="1">
      <alignment horizontal="right"/>
    </xf>
    <xf numFmtId="0" fontId="0" fillId="0" borderId="14" xfId="0" applyBorder="1" applyAlignment="1">
      <alignment horizontal="right"/>
    </xf>
    <xf numFmtId="0" fontId="0" fillId="0" borderId="12" xfId="0" applyBorder="1" applyAlignment="1">
      <alignment horizontal="right"/>
    </xf>
    <xf numFmtId="0" fontId="0" fillId="0" borderId="14" xfId="0" applyBorder="1"/>
    <xf numFmtId="9" fontId="0" fillId="0" borderId="3" xfId="2" applyFont="1" applyFill="1" applyBorder="1" applyProtection="1"/>
    <xf numFmtId="1" fontId="0" fillId="0" borderId="4" xfId="1" applyNumberFormat="1" applyFont="1" applyFill="1" applyBorder="1" applyAlignment="1" applyProtection="1">
      <alignment horizontal="right"/>
    </xf>
    <xf numFmtId="0" fontId="0" fillId="3" borderId="3" xfId="0" applyFill="1" applyBorder="1"/>
    <xf numFmtId="9" fontId="0" fillId="3" borderId="3" xfId="2" applyFont="1" applyFill="1" applyBorder="1" applyAlignment="1" applyProtection="1">
      <alignment horizontal="right"/>
    </xf>
    <xf numFmtId="9" fontId="0" fillId="3" borderId="0" xfId="2" applyFont="1" applyFill="1" applyBorder="1" applyAlignment="1" applyProtection="1">
      <alignment horizontal="right"/>
    </xf>
    <xf numFmtId="9" fontId="0" fillId="3" borderId="4" xfId="2" applyFont="1" applyFill="1" applyBorder="1" applyAlignment="1" applyProtection="1">
      <alignment horizontal="right"/>
    </xf>
    <xf numFmtId="0" fontId="0" fillId="3" borderId="3" xfId="0" applyFill="1" applyBorder="1" applyAlignment="1">
      <alignment horizontal="right"/>
    </xf>
    <xf numFmtId="0" fontId="0" fillId="3" borderId="0" xfId="0" applyFill="1" applyAlignment="1">
      <alignment horizontal="right"/>
    </xf>
    <xf numFmtId="0" fontId="0" fillId="3" borderId="4" xfId="0" applyFill="1" applyBorder="1" applyAlignment="1">
      <alignment horizontal="right"/>
    </xf>
    <xf numFmtId="1" fontId="0" fillId="0" borderId="0" xfId="1" applyNumberFormat="1" applyFont="1" applyFill="1" applyBorder="1" applyAlignment="1" applyProtection="1">
      <alignment horizontal="right"/>
    </xf>
    <xf numFmtId="9" fontId="0" fillId="0" borderId="13" xfId="2" applyFont="1" applyBorder="1" applyAlignment="1" applyProtection="1">
      <alignment horizontal="right"/>
    </xf>
    <xf numFmtId="9" fontId="0" fillId="0" borderId="14" xfId="2" applyFont="1" applyBorder="1" applyAlignment="1" applyProtection="1">
      <alignment horizontal="right"/>
    </xf>
    <xf numFmtId="9" fontId="0" fillId="0" borderId="12" xfId="2" applyFont="1" applyBorder="1" applyAlignment="1" applyProtection="1">
      <alignment horizontal="right"/>
    </xf>
    <xf numFmtId="0" fontId="5" fillId="0" borderId="3" xfId="0" applyFont="1" applyBorder="1" applyAlignment="1">
      <alignment wrapText="1"/>
    </xf>
    <xf numFmtId="0" fontId="5" fillId="0" borderId="3" xfId="0" applyFont="1" applyBorder="1" applyAlignment="1">
      <alignment horizontal="right" wrapText="1"/>
    </xf>
    <xf numFmtId="0" fontId="5" fillId="0" borderId="4" xfId="0" applyFont="1" applyBorder="1" applyAlignment="1">
      <alignment horizontal="right" wrapText="1"/>
    </xf>
    <xf numFmtId="0" fontId="0" fillId="4" borderId="3" xfId="0" applyFill="1" applyBorder="1"/>
    <xf numFmtId="9" fontId="0" fillId="4" borderId="3" xfId="2" applyFont="1" applyFill="1" applyBorder="1" applyAlignment="1" applyProtection="1">
      <alignment horizontal="right"/>
    </xf>
    <xf numFmtId="9" fontId="0" fillId="4" borderId="0" xfId="2" applyFont="1" applyFill="1" applyBorder="1" applyAlignment="1" applyProtection="1">
      <alignment horizontal="right"/>
    </xf>
    <xf numFmtId="9" fontId="0" fillId="4" borderId="4" xfId="2" applyFont="1" applyFill="1" applyBorder="1" applyAlignment="1" applyProtection="1">
      <alignment horizontal="right"/>
    </xf>
    <xf numFmtId="9" fontId="0" fillId="2" borderId="3" xfId="2" applyFont="1" applyFill="1" applyBorder="1" applyAlignment="1" applyProtection="1">
      <alignment horizontal="right"/>
    </xf>
    <xf numFmtId="9" fontId="0" fillId="2" borderId="0" xfId="2" applyFont="1" applyFill="1" applyBorder="1" applyAlignment="1" applyProtection="1">
      <alignment horizontal="right"/>
    </xf>
    <xf numFmtId="9" fontId="0" fillId="5" borderId="3" xfId="2" applyFont="1" applyFill="1" applyBorder="1" applyAlignment="1" applyProtection="1">
      <alignment horizontal="right"/>
    </xf>
    <xf numFmtId="9" fontId="0" fillId="5" borderId="0" xfId="2" applyFont="1" applyFill="1" applyBorder="1" applyAlignment="1" applyProtection="1">
      <alignment horizontal="right"/>
    </xf>
    <xf numFmtId="9" fontId="0" fillId="5" borderId="4" xfId="2" applyFont="1" applyFill="1" applyBorder="1" applyAlignment="1" applyProtection="1">
      <alignment horizontal="right"/>
    </xf>
    <xf numFmtId="0" fontId="0" fillId="5" borderId="3" xfId="0" applyFill="1" applyBorder="1"/>
    <xf numFmtId="0" fontId="0" fillId="0" borderId="0" xfId="0" applyAlignment="1">
      <alignment vertical="center" wrapText="1"/>
    </xf>
    <xf numFmtId="0" fontId="5" fillId="0" borderId="0" xfId="0" applyFont="1" applyAlignment="1">
      <alignment vertical="center"/>
    </xf>
    <xf numFmtId="0" fontId="7" fillId="0" borderId="0" xfId="0" applyFont="1"/>
    <xf numFmtId="0" fontId="4" fillId="0" borderId="0" xfId="0" applyFont="1"/>
    <xf numFmtId="0" fontId="4" fillId="3" borderId="3" xfId="0" applyFont="1" applyFill="1" applyBorder="1"/>
    <xf numFmtId="9" fontId="4" fillId="3" borderId="3" xfId="2" applyFont="1" applyFill="1" applyBorder="1" applyAlignment="1" applyProtection="1">
      <alignment horizontal="right"/>
    </xf>
    <xf numFmtId="9" fontId="4" fillId="3" borderId="0" xfId="2" applyFont="1" applyFill="1" applyBorder="1" applyAlignment="1" applyProtection="1">
      <alignment horizontal="right"/>
    </xf>
    <xf numFmtId="9" fontId="4" fillId="3" borderId="4" xfId="2" applyFont="1" applyFill="1" applyBorder="1" applyAlignment="1" applyProtection="1">
      <alignment horizontal="right"/>
    </xf>
    <xf numFmtId="9" fontId="4" fillId="3" borderId="3" xfId="2" quotePrefix="1" applyFont="1" applyFill="1" applyBorder="1" applyAlignment="1" applyProtection="1">
      <alignment horizontal="right" wrapText="1"/>
    </xf>
    <xf numFmtId="9" fontId="4" fillId="4" borderId="3" xfId="2" applyFont="1" applyFill="1" applyBorder="1" applyAlignment="1" applyProtection="1">
      <alignment horizontal="right"/>
    </xf>
    <xf numFmtId="9" fontId="4" fillId="4" borderId="0" xfId="2" applyFont="1" applyFill="1" applyBorder="1" applyAlignment="1" applyProtection="1">
      <alignment horizontal="right"/>
    </xf>
    <xf numFmtId="9" fontId="4" fillId="4" borderId="4" xfId="2" applyFont="1" applyFill="1" applyBorder="1" applyAlignment="1" applyProtection="1">
      <alignment horizontal="right"/>
    </xf>
    <xf numFmtId="0" fontId="4" fillId="4" borderId="3" xfId="0" applyFont="1" applyFill="1" applyBorder="1"/>
    <xf numFmtId="0" fontId="0" fillId="0" borderId="13" xfId="0" applyBorder="1"/>
    <xf numFmtId="0" fontId="6" fillId="0" borderId="0" xfId="0" applyFont="1"/>
    <xf numFmtId="0" fontId="6" fillId="0" borderId="1" xfId="0" applyFont="1" applyBorder="1"/>
    <xf numFmtId="0" fontId="0" fillId="0" borderId="1" xfId="0" applyBorder="1"/>
    <xf numFmtId="9" fontId="0" fillId="6" borderId="3" xfId="2" applyFont="1" applyFill="1" applyBorder="1" applyAlignment="1" applyProtection="1">
      <alignment horizontal="right"/>
    </xf>
    <xf numFmtId="9" fontId="0" fillId="6" borderId="0" xfId="2" applyFont="1" applyFill="1" applyBorder="1" applyAlignment="1" applyProtection="1">
      <alignment horizontal="right"/>
    </xf>
    <xf numFmtId="9" fontId="0" fillId="6" borderId="4" xfId="2" applyFont="1" applyFill="1" applyBorder="1" applyAlignment="1" applyProtection="1">
      <alignment horizontal="right"/>
    </xf>
    <xf numFmtId="0" fontId="0" fillId="0" borderId="0" xfId="0" pivotButton="1"/>
    <xf numFmtId="0" fontId="0" fillId="0" borderId="0" xfId="0" applyAlignment="1">
      <alignment horizontal="left"/>
    </xf>
    <xf numFmtId="9" fontId="0" fillId="0" borderId="11" xfId="2" applyFont="1" applyBorder="1" applyAlignment="1" applyProtection="1">
      <alignment horizontal="right"/>
    </xf>
    <xf numFmtId="0" fontId="5" fillId="0" borderId="0" xfId="0" applyFont="1"/>
    <xf numFmtId="9" fontId="0" fillId="0" borderId="0" xfId="2" applyFont="1" applyProtection="1"/>
    <xf numFmtId="9" fontId="0" fillId="0" borderId="1" xfId="2" applyFont="1" applyBorder="1" applyProtection="1"/>
    <xf numFmtId="9" fontId="0" fillId="0" borderId="0" xfId="2" applyFont="1"/>
    <xf numFmtId="0" fontId="5" fillId="5" borderId="3" xfId="0" applyFont="1" applyFill="1" applyBorder="1"/>
    <xf numFmtId="9" fontId="5" fillId="5" borderId="3" xfId="2" applyFont="1" applyFill="1" applyBorder="1" applyAlignment="1" applyProtection="1">
      <alignment horizontal="right"/>
    </xf>
    <xf numFmtId="9" fontId="5" fillId="5" borderId="0" xfId="2" applyFont="1" applyFill="1" applyBorder="1" applyAlignment="1" applyProtection="1">
      <alignment horizontal="right"/>
    </xf>
    <xf numFmtId="9" fontId="5" fillId="5" borderId="4" xfId="2" applyFont="1" applyFill="1" applyBorder="1" applyAlignment="1" applyProtection="1">
      <alignment horizontal="right"/>
    </xf>
    <xf numFmtId="9" fontId="8" fillId="5" borderId="3" xfId="2" applyFont="1" applyFill="1" applyBorder="1" applyAlignment="1" applyProtection="1">
      <alignment horizontal="right"/>
    </xf>
    <xf numFmtId="9" fontId="8" fillId="5" borderId="0" xfId="2" applyFont="1" applyFill="1" applyBorder="1" applyAlignment="1" applyProtection="1">
      <alignment horizontal="right"/>
    </xf>
    <xf numFmtId="9" fontId="5" fillId="0" borderId="3" xfId="2" applyFont="1" applyBorder="1" applyAlignment="1" applyProtection="1">
      <alignment horizontal="right"/>
    </xf>
    <xf numFmtId="9" fontId="5" fillId="6" borderId="0" xfId="2" applyFont="1" applyFill="1" applyBorder="1" applyAlignment="1" applyProtection="1">
      <alignment horizontal="right"/>
    </xf>
    <xf numFmtId="9" fontId="5" fillId="0" borderId="0" xfId="2" applyFont="1" applyBorder="1" applyAlignment="1" applyProtection="1">
      <alignment horizontal="right"/>
    </xf>
    <xf numFmtId="9" fontId="5" fillId="0" borderId="4" xfId="2" applyFont="1" applyBorder="1" applyAlignment="1" applyProtection="1">
      <alignment horizontal="right"/>
    </xf>
    <xf numFmtId="9" fontId="5" fillId="0" borderId="12" xfId="2" applyFont="1" applyFill="1" applyBorder="1" applyAlignment="1" applyProtection="1">
      <alignment horizontal="right"/>
    </xf>
    <xf numFmtId="9" fontId="5" fillId="0" borderId="13" xfId="2" applyFont="1" applyBorder="1" applyAlignment="1" applyProtection="1">
      <alignment horizontal="right"/>
    </xf>
    <xf numFmtId="9" fontId="5" fillId="0" borderId="14" xfId="2" applyFont="1" applyBorder="1" applyAlignment="1" applyProtection="1">
      <alignment horizontal="right"/>
    </xf>
    <xf numFmtId="9" fontId="5" fillId="0" borderId="12" xfId="2" applyFont="1" applyBorder="1" applyAlignment="1" applyProtection="1">
      <alignment horizontal="right"/>
    </xf>
    <xf numFmtId="9" fontId="5" fillId="3" borderId="3" xfId="2" applyFont="1" applyFill="1" applyBorder="1" applyAlignment="1" applyProtection="1">
      <alignment horizontal="right"/>
    </xf>
    <xf numFmtId="9" fontId="5" fillId="3" borderId="0" xfId="2" applyFont="1" applyFill="1" applyBorder="1" applyAlignment="1" applyProtection="1">
      <alignment horizontal="right"/>
    </xf>
    <xf numFmtId="9" fontId="5" fillId="3" borderId="4" xfId="2" applyFont="1" applyFill="1" applyBorder="1" applyAlignment="1" applyProtection="1">
      <alignment horizontal="right"/>
    </xf>
    <xf numFmtId="9" fontId="9" fillId="3" borderId="3" xfId="2" applyFont="1" applyFill="1" applyBorder="1" applyAlignment="1" applyProtection="1">
      <alignment horizontal="right"/>
    </xf>
    <xf numFmtId="9" fontId="9" fillId="3" borderId="0" xfId="2" applyFont="1" applyFill="1" applyBorder="1" applyAlignment="1" applyProtection="1">
      <alignment horizontal="right"/>
    </xf>
    <xf numFmtId="9" fontId="9" fillId="3" borderId="4" xfId="2" applyFont="1" applyFill="1" applyBorder="1" applyAlignment="1" applyProtection="1">
      <alignment horizontal="right"/>
    </xf>
    <xf numFmtId="9" fontId="9" fillId="3" borderId="3" xfId="2" quotePrefix="1" applyFont="1" applyFill="1" applyBorder="1" applyAlignment="1" applyProtection="1">
      <alignment horizontal="right" wrapText="1"/>
    </xf>
    <xf numFmtId="9" fontId="9" fillId="4" borderId="3" xfId="2" applyFont="1" applyFill="1" applyBorder="1" applyAlignment="1" applyProtection="1">
      <alignment horizontal="right"/>
    </xf>
    <xf numFmtId="9" fontId="9" fillId="4" borderId="0" xfId="2" applyFont="1" applyFill="1" applyBorder="1" applyAlignment="1" applyProtection="1">
      <alignment horizontal="right"/>
    </xf>
    <xf numFmtId="9" fontId="9" fillId="4" borderId="4" xfId="2" applyFont="1" applyFill="1" applyBorder="1" applyAlignment="1" applyProtection="1">
      <alignment horizontal="right"/>
    </xf>
    <xf numFmtId="9" fontId="5" fillId="4" borderId="3" xfId="2" applyFont="1" applyFill="1" applyBorder="1" applyAlignment="1" applyProtection="1">
      <alignment horizontal="right"/>
    </xf>
    <xf numFmtId="9" fontId="5" fillId="4" borderId="0" xfId="2" applyFont="1" applyFill="1" applyBorder="1" applyAlignment="1" applyProtection="1">
      <alignment horizontal="right"/>
    </xf>
    <xf numFmtId="9" fontId="5" fillId="4" borderId="4" xfId="2" applyFont="1" applyFill="1" applyBorder="1" applyAlignment="1" applyProtection="1">
      <alignment horizontal="right"/>
    </xf>
    <xf numFmtId="0" fontId="3" fillId="0" borderId="0" xfId="0" applyFont="1" applyAlignment="1">
      <alignment horizontal="left"/>
    </xf>
    <xf numFmtId="0" fontId="10" fillId="3" borderId="3" xfId="0" applyFont="1" applyFill="1" applyBorder="1"/>
    <xf numFmtId="9" fontId="10" fillId="3" borderId="3" xfId="2" applyFont="1" applyFill="1" applyBorder="1" applyAlignment="1" applyProtection="1">
      <alignment horizontal="right"/>
    </xf>
    <xf numFmtId="9" fontId="10" fillId="3" borderId="0" xfId="2" applyFont="1" applyFill="1" applyBorder="1" applyAlignment="1" applyProtection="1">
      <alignment horizontal="right"/>
    </xf>
    <xf numFmtId="9" fontId="10" fillId="3" borderId="4" xfId="2" applyFont="1" applyFill="1" applyBorder="1" applyAlignment="1" applyProtection="1">
      <alignment horizontal="right"/>
    </xf>
    <xf numFmtId="0" fontId="0" fillId="7" borderId="3" xfId="0" applyFill="1" applyBorder="1"/>
    <xf numFmtId="9" fontId="0" fillId="7" borderId="3" xfId="2" applyFont="1" applyFill="1" applyBorder="1" applyAlignment="1" applyProtection="1">
      <alignment horizontal="right"/>
    </xf>
    <xf numFmtId="9" fontId="0" fillId="7" borderId="0" xfId="2" applyFont="1" applyFill="1" applyBorder="1" applyAlignment="1" applyProtection="1">
      <alignment horizontal="right"/>
    </xf>
    <xf numFmtId="9" fontId="0" fillId="7" borderId="4" xfId="2" applyFont="1" applyFill="1" applyBorder="1" applyAlignment="1" applyProtection="1">
      <alignment horizontal="right"/>
    </xf>
    <xf numFmtId="0" fontId="0" fillId="7" borderId="3" xfId="0" applyFill="1" applyBorder="1" applyAlignment="1">
      <alignment horizontal="right"/>
    </xf>
    <xf numFmtId="0" fontId="0" fillId="7" borderId="0" xfId="0" applyFill="1" applyAlignment="1">
      <alignment horizontal="right"/>
    </xf>
    <xf numFmtId="0" fontId="0" fillId="7" borderId="4" xfId="0" applyFill="1" applyBorder="1" applyAlignment="1">
      <alignment horizontal="right"/>
    </xf>
    <xf numFmtId="0" fontId="3" fillId="2" borderId="3" xfId="0" applyFont="1" applyFill="1" applyBorder="1"/>
    <xf numFmtId="0" fontId="3" fillId="5" borderId="3" xfId="0" applyFont="1" applyFill="1" applyBorder="1"/>
    <xf numFmtId="0" fontId="3" fillId="6" borderId="3" xfId="0" applyFont="1" applyFill="1" applyBorder="1"/>
    <xf numFmtId="9" fontId="8" fillId="3" borderId="0" xfId="2" applyFont="1" applyFill="1" applyBorder="1" applyAlignment="1" applyProtection="1">
      <alignment horizontal="right"/>
    </xf>
    <xf numFmtId="0" fontId="3" fillId="0" borderId="0" xfId="0" quotePrefix="1" applyFont="1" applyAlignment="1">
      <alignment horizontal="left"/>
    </xf>
    <xf numFmtId="9" fontId="8" fillId="4" borderId="3" xfId="2" applyFont="1" applyFill="1" applyBorder="1" applyAlignment="1" applyProtection="1">
      <alignment horizontal="right"/>
    </xf>
    <xf numFmtId="0" fontId="0" fillId="0" borderId="0" xfId="0" applyAlignment="1">
      <alignment horizontal="left" wrapText="1"/>
    </xf>
    <xf numFmtId="0" fontId="3" fillId="0" borderId="0" xfId="0" applyFont="1" applyAlignment="1">
      <alignment horizontal="left" wrapText="1"/>
    </xf>
    <xf numFmtId="9" fontId="7" fillId="0" borderId="3" xfId="2" applyFont="1" applyFill="1" applyBorder="1" applyAlignment="1" applyProtection="1">
      <alignment horizontal="right"/>
    </xf>
    <xf numFmtId="0" fontId="11" fillId="8" borderId="0" xfId="3" applyFont="1" applyFill="1"/>
    <xf numFmtId="0" fontId="12" fillId="8" borderId="0" xfId="3" applyFont="1" applyFill="1"/>
    <xf numFmtId="0" fontId="13" fillId="8" borderId="0" xfId="3" applyFont="1" applyFill="1" applyAlignment="1">
      <alignment wrapText="1"/>
    </xf>
    <xf numFmtId="0" fontId="13" fillId="8" borderId="0" xfId="3" applyFont="1" applyFill="1"/>
    <xf numFmtId="0" fontId="14" fillId="8" borderId="0" xfId="3" applyFont="1" applyFill="1"/>
    <xf numFmtId="0" fontId="14" fillId="0" borderId="1" xfId="0" applyFont="1" applyBorder="1"/>
    <xf numFmtId="0" fontId="16" fillId="0" borderId="0" xfId="0" applyFont="1"/>
    <xf numFmtId="0" fontId="12" fillId="0" borderId="0" xfId="0" applyFont="1"/>
    <xf numFmtId="0" fontId="17" fillId="0" borderId="0" xfId="4" quotePrefix="1" applyFont="1" applyAlignment="1">
      <alignment horizontal="left"/>
    </xf>
    <xf numFmtId="0" fontId="18" fillId="0" borderId="0" xfId="0" applyFont="1" applyAlignment="1">
      <alignment wrapText="1"/>
    </xf>
    <xf numFmtId="0" fontId="18" fillId="0" borderId="0" xfId="0" applyFont="1"/>
    <xf numFmtId="0" fontId="18" fillId="0" borderId="0" xfId="0" applyFont="1" applyAlignment="1">
      <alignment horizontal="center"/>
    </xf>
    <xf numFmtId="0" fontId="18" fillId="0" borderId="1" xfId="0" applyFont="1" applyBorder="1" applyAlignment="1">
      <alignment horizontal="right"/>
    </xf>
    <xf numFmtId="0" fontId="18" fillId="0" borderId="2" xfId="0" applyFont="1" applyBorder="1"/>
    <xf numFmtId="0" fontId="18" fillId="0" borderId="1" xfId="0" applyFont="1" applyBorder="1"/>
    <xf numFmtId="0" fontId="18" fillId="0" borderId="0" xfId="0" applyFont="1" applyAlignment="1">
      <alignment horizontal="left"/>
    </xf>
    <xf numFmtId="0" fontId="18" fillId="0" borderId="8" xfId="0" applyFont="1" applyBorder="1"/>
    <xf numFmtId="0" fontId="20" fillId="0" borderId="0" xfId="0" applyFont="1"/>
    <xf numFmtId="0" fontId="21" fillId="0" borderId="0" xfId="0" applyFont="1"/>
    <xf numFmtId="0" fontId="18" fillId="0" borderId="0" xfId="0" applyFont="1" applyAlignment="1">
      <alignment vertical="center"/>
    </xf>
    <xf numFmtId="0" fontId="18" fillId="0" borderId="0" xfId="0" applyFont="1" applyAlignment="1">
      <alignment vertical="center" wrapText="1"/>
    </xf>
    <xf numFmtId="0" fontId="18" fillId="0" borderId="2" xfId="0" applyFont="1" applyBorder="1" applyAlignment="1">
      <alignment vertical="center" wrapText="1"/>
    </xf>
    <xf numFmtId="0" fontId="18" fillId="0" borderId="1" xfId="0" applyFont="1" applyBorder="1" applyAlignment="1">
      <alignment vertical="center" wrapText="1"/>
    </xf>
    <xf numFmtId="0" fontId="21" fillId="0" borderId="0" xfId="0" applyFont="1" applyAlignment="1">
      <alignment horizontal="left" wrapText="1"/>
    </xf>
    <xf numFmtId="0" fontId="17" fillId="0" borderId="0" xfId="4" quotePrefix="1" applyFont="1"/>
    <xf numFmtId="0" fontId="20" fillId="0" borderId="1" xfId="0" applyFont="1" applyBorder="1"/>
    <xf numFmtId="0" fontId="20" fillId="0" borderId="8" xfId="0" applyFont="1" applyBorder="1"/>
    <xf numFmtId="0" fontId="3" fillId="0" borderId="0" xfId="0" applyFont="1" applyAlignment="1">
      <alignment wrapText="1"/>
    </xf>
    <xf numFmtId="0" fontId="20" fillId="0" borderId="0" xfId="0" applyFont="1" applyAlignment="1">
      <alignment horizontal="left"/>
    </xf>
    <xf numFmtId="0" fontId="18" fillId="0" borderId="1" xfId="0" applyFont="1" applyBorder="1" applyAlignment="1">
      <alignment horizontal="center"/>
    </xf>
    <xf numFmtId="9" fontId="18" fillId="0" borderId="2" xfId="2" applyFont="1" applyBorder="1" applyAlignment="1">
      <alignment horizontal="center"/>
    </xf>
    <xf numFmtId="9" fontId="18" fillId="0" borderId="0" xfId="2" applyFont="1" applyBorder="1" applyAlignment="1">
      <alignment horizontal="center"/>
    </xf>
    <xf numFmtId="9" fontId="18" fillId="0" borderId="1" xfId="2" applyFont="1" applyBorder="1" applyAlignment="1">
      <alignment horizontal="center"/>
    </xf>
    <xf numFmtId="9" fontId="20" fillId="0" borderId="1" xfId="2" applyFont="1" applyBorder="1" applyAlignment="1">
      <alignment horizontal="center"/>
    </xf>
    <xf numFmtId="9" fontId="18" fillId="0" borderId="2" xfId="2" applyFont="1" applyFill="1" applyBorder="1" applyAlignment="1">
      <alignment horizontal="center"/>
    </xf>
    <xf numFmtId="9" fontId="18" fillId="0" borderId="0" xfId="2" applyFont="1" applyFill="1" applyBorder="1" applyAlignment="1">
      <alignment horizontal="center"/>
    </xf>
    <xf numFmtId="9" fontId="18" fillId="0" borderId="1" xfId="2" applyFont="1" applyFill="1" applyBorder="1" applyAlignment="1">
      <alignment horizontal="center"/>
    </xf>
    <xf numFmtId="9" fontId="20" fillId="0" borderId="1" xfId="2" applyFont="1" applyFill="1" applyBorder="1" applyAlignment="1">
      <alignment horizontal="center"/>
    </xf>
    <xf numFmtId="9" fontId="20" fillId="0" borderId="0" xfId="2" applyFont="1" applyBorder="1" applyAlignment="1">
      <alignment horizontal="center"/>
    </xf>
    <xf numFmtId="0" fontId="20" fillId="0" borderId="1" xfId="0" applyFont="1" applyBorder="1" applyAlignment="1">
      <alignment horizontal="left"/>
    </xf>
    <xf numFmtId="0" fontId="3" fillId="0" borderId="1" xfId="0" applyFont="1" applyBorder="1" applyAlignment="1">
      <alignment horizontal="right" wrapText="1"/>
    </xf>
    <xf numFmtId="0" fontId="3" fillId="4" borderId="3" xfId="0" applyFont="1" applyFill="1" applyBorder="1"/>
    <xf numFmtId="0" fontId="3" fillId="0" borderId="12" xfId="0" applyFont="1" applyBorder="1"/>
    <xf numFmtId="0" fontId="3" fillId="0" borderId="3" xfId="0" applyFont="1" applyBorder="1"/>
    <xf numFmtId="9" fontId="3" fillId="0" borderId="10" xfId="2" applyFont="1" applyBorder="1" applyAlignment="1" applyProtection="1">
      <alignment horizontal="right"/>
    </xf>
    <xf numFmtId="9" fontId="3" fillId="0" borderId="0" xfId="2" applyFont="1" applyBorder="1" applyAlignment="1" applyProtection="1">
      <alignment horizontal="right"/>
    </xf>
    <xf numFmtId="9" fontId="3" fillId="0" borderId="4" xfId="2" applyFont="1" applyBorder="1" applyAlignment="1" applyProtection="1">
      <alignment horizontal="right"/>
    </xf>
    <xf numFmtId="9" fontId="3" fillId="0" borderId="3" xfId="2" applyFont="1" applyBorder="1" applyAlignment="1" applyProtection="1">
      <alignment horizontal="right"/>
    </xf>
    <xf numFmtId="9" fontId="3" fillId="0" borderId="11" xfId="2" applyFont="1" applyBorder="1" applyAlignment="1" applyProtection="1">
      <alignment horizontal="right"/>
    </xf>
    <xf numFmtId="9" fontId="3" fillId="0" borderId="13" xfId="2" applyFont="1" applyFill="1" applyBorder="1" applyAlignment="1" applyProtection="1">
      <alignment horizontal="right"/>
    </xf>
    <xf numFmtId="9" fontId="3" fillId="0" borderId="14" xfId="2" applyFont="1" applyFill="1" applyBorder="1" applyAlignment="1" applyProtection="1">
      <alignment horizontal="right"/>
    </xf>
    <xf numFmtId="9" fontId="3" fillId="0" borderId="12" xfId="2" applyFont="1" applyFill="1" applyBorder="1" applyAlignment="1" applyProtection="1">
      <alignment horizontal="right"/>
    </xf>
    <xf numFmtId="9" fontId="3" fillId="0" borderId="13" xfId="2" applyFont="1" applyBorder="1" applyAlignment="1" applyProtection="1">
      <alignment horizontal="right"/>
    </xf>
    <xf numFmtId="9" fontId="3" fillId="0" borderId="14" xfId="2" applyFont="1" applyBorder="1" applyAlignment="1" applyProtection="1">
      <alignment horizontal="right"/>
    </xf>
    <xf numFmtId="9" fontId="3" fillId="0" borderId="12" xfId="2" applyFont="1" applyBorder="1" applyAlignment="1" applyProtection="1">
      <alignment horizontal="right"/>
    </xf>
    <xf numFmtId="0" fontId="18" fillId="0" borderId="2" xfId="0" applyFont="1" applyBorder="1" applyAlignment="1">
      <alignment vertical="center"/>
    </xf>
    <xf numFmtId="0" fontId="18" fillId="0" borderId="1" xfId="0" applyFont="1" applyBorder="1" applyAlignment="1">
      <alignment vertical="center"/>
    </xf>
    <xf numFmtId="0" fontId="18" fillId="0" borderId="1" xfId="0" applyFont="1" applyFill="1" applyBorder="1" applyAlignment="1">
      <alignment horizontal="center"/>
    </xf>
    <xf numFmtId="0" fontId="12" fillId="0" borderId="0" xfId="4" quotePrefix="1" applyFont="1" applyAlignment="1">
      <alignment horizontal="left"/>
    </xf>
    <xf numFmtId="0" fontId="18" fillId="0" borderId="1" xfId="0" applyFont="1" applyBorder="1" applyAlignment="1">
      <alignment horizontal="center" vertical="center" wrapText="1"/>
    </xf>
    <xf numFmtId="9" fontId="18" fillId="0" borderId="2" xfId="2" applyFont="1" applyFill="1" applyBorder="1" applyAlignment="1">
      <alignment horizontal="center" vertical="center" wrapText="1"/>
    </xf>
    <xf numFmtId="9" fontId="18" fillId="0" borderId="0" xfId="2" applyFont="1" applyFill="1" applyBorder="1" applyAlignment="1">
      <alignment horizontal="center" vertical="center" wrapText="1"/>
    </xf>
    <xf numFmtId="9" fontId="18" fillId="0" borderId="1" xfId="2" applyFont="1" applyFill="1" applyBorder="1" applyAlignment="1">
      <alignment horizontal="center" vertical="center" wrapText="1"/>
    </xf>
    <xf numFmtId="9" fontId="18" fillId="0" borderId="2" xfId="2" applyFont="1" applyBorder="1" applyAlignment="1">
      <alignment horizontal="center" vertical="center"/>
    </xf>
    <xf numFmtId="9" fontId="18" fillId="0" borderId="1" xfId="2" applyFont="1" applyBorder="1" applyAlignment="1">
      <alignment horizontal="center" vertical="center"/>
    </xf>
    <xf numFmtId="9" fontId="20" fillId="0" borderId="1" xfId="2" applyFont="1" applyBorder="1" applyAlignment="1">
      <alignment horizontal="center" vertical="center"/>
    </xf>
    <xf numFmtId="9" fontId="18" fillId="0" borderId="0" xfId="2" applyFont="1" applyBorder="1" applyAlignment="1">
      <alignment horizontal="center" vertical="center"/>
    </xf>
    <xf numFmtId="9" fontId="18" fillId="0" borderId="1" xfId="2" applyFont="1" applyFill="1" applyBorder="1" applyAlignment="1">
      <alignment horizontal="center" vertical="center"/>
    </xf>
    <xf numFmtId="0" fontId="18" fillId="0" borderId="1" xfId="0" applyFont="1" applyBorder="1" applyAlignment="1">
      <alignment horizontal="center" vertical="center"/>
    </xf>
    <xf numFmtId="9" fontId="18" fillId="0" borderId="17" xfId="2" applyFont="1" applyBorder="1" applyAlignment="1">
      <alignment horizontal="center"/>
    </xf>
    <xf numFmtId="9" fontId="18" fillId="0" borderId="16" xfId="2" applyFont="1" applyBorder="1" applyAlignment="1">
      <alignment horizontal="center"/>
    </xf>
    <xf numFmtId="9" fontId="18" fillId="0" borderId="17" xfId="2" applyFont="1" applyBorder="1" applyAlignment="1">
      <alignment horizontal="center" vertical="center"/>
    </xf>
    <xf numFmtId="9" fontId="18" fillId="0" borderId="16" xfId="2" applyFont="1" applyBorder="1" applyAlignment="1">
      <alignment horizontal="center" vertical="center"/>
    </xf>
    <xf numFmtId="9" fontId="20" fillId="0" borderId="18" xfId="2" applyFont="1" applyBorder="1" applyAlignment="1">
      <alignment horizontal="center" vertical="center"/>
    </xf>
    <xf numFmtId="0" fontId="21" fillId="0" borderId="0" xfId="0" applyFont="1" applyBorder="1" applyAlignment="1">
      <alignment horizontal="left" vertical="center" wrapText="1"/>
    </xf>
    <xf numFmtId="0" fontId="20" fillId="0" borderId="15" xfId="0" applyFont="1" applyBorder="1" applyAlignment="1">
      <alignment horizontal="left"/>
    </xf>
    <xf numFmtId="0" fontId="21" fillId="0" borderId="0" xfId="0" applyFont="1" applyBorder="1" applyAlignment="1">
      <alignment horizontal="left" wrapText="1"/>
    </xf>
    <xf numFmtId="0" fontId="24" fillId="0" borderId="0" xfId="0" applyFont="1" applyBorder="1" applyAlignment="1">
      <alignment horizontal="left" wrapText="1"/>
    </xf>
    <xf numFmtId="0" fontId="24" fillId="0" borderId="0" xfId="0" applyFont="1"/>
    <xf numFmtId="0" fontId="12" fillId="0" borderId="0" xfId="0" applyFont="1" applyFill="1"/>
    <xf numFmtId="9" fontId="20" fillId="0" borderId="2" xfId="2" applyFont="1" applyBorder="1" applyAlignment="1">
      <alignment horizontal="center" vertical="center"/>
    </xf>
    <xf numFmtId="0" fontId="21" fillId="0" borderId="2" xfId="0" applyFont="1" applyBorder="1"/>
    <xf numFmtId="0" fontId="13" fillId="8" borderId="0" xfId="3" applyFont="1" applyFill="1" applyAlignment="1">
      <alignment horizontal="left" wrapText="1"/>
    </xf>
    <xf numFmtId="0" fontId="21" fillId="0" borderId="2" xfId="0" applyFont="1" applyBorder="1" applyAlignment="1">
      <alignment horizontal="left" wrapText="1"/>
    </xf>
    <xf numFmtId="0" fontId="18" fillId="0" borderId="2" xfId="0" applyFont="1" applyBorder="1" applyAlignment="1">
      <alignment vertical="center"/>
    </xf>
    <xf numFmtId="0" fontId="18" fillId="0" borderId="1" xfId="0" applyFont="1" applyBorder="1" applyAlignment="1">
      <alignment vertical="center"/>
    </xf>
    <xf numFmtId="0" fontId="18" fillId="0" borderId="2" xfId="0" applyFont="1" applyBorder="1" applyAlignment="1">
      <alignment horizontal="center"/>
    </xf>
    <xf numFmtId="0" fontId="24" fillId="0" borderId="2" xfId="0" applyFont="1" applyBorder="1" applyAlignment="1">
      <alignment horizontal="left" wrapText="1"/>
    </xf>
    <xf numFmtId="0" fontId="21" fillId="0" borderId="0" xfId="0" applyFont="1" applyBorder="1" applyAlignment="1">
      <alignment horizontal="left" wrapText="1"/>
    </xf>
    <xf numFmtId="0" fontId="21" fillId="0" borderId="2" xfId="0" applyFont="1" applyBorder="1" applyAlignment="1">
      <alignment horizontal="left" vertical="center" wrapText="1"/>
    </xf>
    <xf numFmtId="0" fontId="18" fillId="0" borderId="2" xfId="0" applyFont="1" applyBorder="1" applyAlignment="1">
      <alignment horizontal="center" wrapText="1"/>
    </xf>
    <xf numFmtId="0" fontId="18" fillId="0" borderId="2" xfId="0" applyFont="1" applyBorder="1" applyAlignment="1">
      <alignment horizontal="left" vertical="center"/>
    </xf>
    <xf numFmtId="0" fontId="18" fillId="0" borderId="0" xfId="0" applyFont="1" applyAlignment="1">
      <alignment horizontal="left" vertical="center"/>
    </xf>
    <xf numFmtId="0" fontId="18" fillId="0" borderId="1" xfId="0" applyFont="1" applyBorder="1" applyAlignment="1">
      <alignment horizontal="left" vertical="center"/>
    </xf>
    <xf numFmtId="0" fontId="18" fillId="0" borderId="0" xfId="0" applyFont="1" applyAlignment="1">
      <alignment horizontal="center" wrapText="1"/>
    </xf>
    <xf numFmtId="0" fontId="21" fillId="0" borderId="0" xfId="0" applyFont="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wrapText="1"/>
    </xf>
    <xf numFmtId="0" fontId="20" fillId="0" borderId="0" xfId="0" applyFont="1" applyAlignment="1">
      <alignment horizontal="left" wrapText="1"/>
    </xf>
  </cellXfs>
  <cellStyles count="7">
    <cellStyle name="Comma" xfId="1" builtinId="3"/>
    <cellStyle name="Hyperlink" xfId="4" builtinId="8"/>
    <cellStyle name="Normal" xfId="0" builtinId="0"/>
    <cellStyle name="Normal 2" xfId="3" xr:uid="{F3438C4A-1AC2-4644-9766-3FBFA251AFCC}"/>
    <cellStyle name="Normal 3" xfId="5" xr:uid="{91AA1528-EF13-4E3E-B083-BAB71D768321}"/>
    <cellStyle name="Percent" xfId="2" builtinId="5"/>
    <cellStyle name="Percent 2" xfId="6" xr:uid="{42237EF8-3665-4C56-B7F2-3952E4113980}"/>
  </cellStyles>
  <dxfs count="5">
    <dxf>
      <alignment horizontal="right"/>
    </dxf>
    <dxf>
      <alignment horizontal="right"/>
    </dxf>
    <dxf>
      <alignment horizontal="right"/>
    </dxf>
    <dxf>
      <alignment horizontal="right"/>
    </dxf>
    <dxf>
      <alignment horizontal="right"/>
    </dxf>
  </dxfs>
  <tableStyles count="0" defaultTableStyle="TableStyleMedium2" defaultPivotStyle="PivotStyleLight16"/>
  <colors>
    <mruColors>
      <color rgb="FFECB54F"/>
      <color rgb="FFFFCCFF"/>
      <color rgb="FF842215"/>
      <color rgb="FF0066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'Summary Statistics - Negative'!$E$2</c:f>
              <c:strCache>
                <c:ptCount val="1"/>
                <c:pt idx="0">
                  <c:v>+ve</c:v>
                </c:pt>
              </c:strCache>
            </c:strRef>
          </c:tx>
          <c:spPr>
            <a:solidFill>
              <a:srgbClr val="00666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Statistics - Negative'!$C$3:$C$33</c:f>
              <c:strCache>
                <c:ptCount val="30"/>
                <c:pt idx="0">
                  <c:v>Q21. (Complainant only) Was there any information issues that might have caused problems with making a complaint in the necessary time frame</c:v>
                </c:pt>
                <c:pt idx="1">
                  <c:v>Q16.1. (Complainants only) Was there any information issues that might have caused problems in making a complaint with the necessary timeframe?</c:v>
                </c:pt>
                <c:pt idx="2">
                  <c:v>Q10. How helpful did you find your training with your involvement with Service Complaints?</c:v>
                </c:pt>
                <c:pt idx="3">
                  <c:v>Q6. Do you feel training provides you with adequate awareness of the existence of Service Complaints and the Ombudsman?</c:v>
                </c:pt>
                <c:pt idx="4">
                  <c:v>Q5. Did you know in what ways the Ombudsman could help you in the last 12 months?</c:v>
                </c:pt>
                <c:pt idx="5">
                  <c:v>Q4. Did you know that JSP831 is a main source of information on Service Complaints?</c:v>
                </c:pt>
                <c:pt idx="6">
                  <c:v>Q3. Do you feel information on Service Complaints is easy to find?</c:v>
                </c:pt>
                <c:pt idx="9">
                  <c:v>Q16.8. (Complainants only) Were the decisions on whether to uphold the complaint or not clearly explained?</c:v>
                </c:pt>
                <c:pt idx="10">
                  <c:v>Q16.7. In your opinion, was an appropriate amount of evidence collected to enable a fair decision to be made?</c:v>
                </c:pt>
                <c:pt idx="11">
                  <c:v>Q16.6. Were there regular and informative updates on the progress of this complaint?</c:v>
                </c:pt>
                <c:pt idx="12">
                  <c:v>Q16.5. If so, was the assisting officer helpful?</c:v>
                </c:pt>
                <c:pt idx="13">
                  <c:v>Q16.4. Were you offered an assisting officer?</c:v>
                </c:pt>
                <c:pt idx="14">
                  <c:v>Q16.3. Was there an initial interview to understand the heads of complaint?</c:v>
                </c:pt>
                <c:pt idx="15">
                  <c:v>Q16.2. (Complainants only) Were the reasons for the admissibility decision clearly explained to you?</c:v>
                </c:pt>
                <c:pt idx="18">
                  <c:v>Q13. In your experience, was the Service Complaints process responsive to your particular circumstances (e.g. keeping information confidential, not having access to a computer)</c:v>
                </c:pt>
                <c:pt idx="19">
                  <c:v>Q12. In your experience, is the Service Complaints process open and transparent?</c:v>
                </c:pt>
                <c:pt idx="20">
                  <c:v>Q11. In your experience, was the Service Complaints process simple and straightforward?</c:v>
                </c:pt>
                <c:pt idx="23">
                  <c:v>Q23. Was the underlying problem solved(e.g. did you get the pay/allowance you were looking for; receive the desired promotion or transfer; have the accommodation problem solved; did the bullying, harassment or discrimination stop?)</c:v>
                </c:pt>
                <c:pt idx="24">
                  <c:v>Q24. As the complainant/ respondent, how satisfied were you with the outcome of this complaint</c:v>
                </c:pt>
                <c:pt idx="25">
                  <c:v>Q20. How did your colleagues react to you being the complainant/respondent to a Service complaint?</c:v>
                </c:pt>
                <c:pt idx="26">
                  <c:v>Q18. Was my health and well-being affected by the Service complaints process</c:v>
                </c:pt>
                <c:pt idx="29">
                  <c:v>Q14. Would you recommend others to use the Service Complaints system?</c:v>
                </c:pt>
              </c:strCache>
            </c:strRef>
          </c:cat>
          <c:val>
            <c:numRef>
              <c:f>'Summary Statistics - Negative'!$E$3:$E$33</c:f>
              <c:numCache>
                <c:formatCode>0%</c:formatCode>
                <c:ptCount val="31"/>
                <c:pt idx="0">
                  <c:v>0</c:v>
                </c:pt>
                <c:pt idx="1">
                  <c:v>0</c:v>
                </c:pt>
                <c:pt idx="2">
                  <c:v>0</c:v>
                </c:pt>
                <c:pt idx="3">
                  <c:v>0</c:v>
                </c:pt>
                <c:pt idx="4">
                  <c:v>0</c:v>
                </c:pt>
                <c:pt idx="5">
                  <c:v>0</c:v>
                </c:pt>
                <c:pt idx="6">
                  <c:v>0</c:v>
                </c:pt>
                <c:pt idx="9">
                  <c:v>0</c:v>
                </c:pt>
                <c:pt idx="10">
                  <c:v>0</c:v>
                </c:pt>
                <c:pt idx="11">
                  <c:v>0</c:v>
                </c:pt>
                <c:pt idx="12">
                  <c:v>0</c:v>
                </c:pt>
                <c:pt idx="13">
                  <c:v>0</c:v>
                </c:pt>
                <c:pt idx="14">
                  <c:v>0</c:v>
                </c:pt>
                <c:pt idx="15">
                  <c:v>0</c:v>
                </c:pt>
                <c:pt idx="18">
                  <c:v>0</c:v>
                </c:pt>
                <c:pt idx="19">
                  <c:v>0</c:v>
                </c:pt>
                <c:pt idx="20">
                  <c:v>0</c:v>
                </c:pt>
                <c:pt idx="23">
                  <c:v>0</c:v>
                </c:pt>
                <c:pt idx="24">
                  <c:v>0</c:v>
                </c:pt>
                <c:pt idx="25">
                  <c:v>0</c:v>
                </c:pt>
                <c:pt idx="26">
                  <c:v>0</c:v>
                </c:pt>
                <c:pt idx="29">
                  <c:v>0</c:v>
                </c:pt>
              </c:numCache>
            </c:numRef>
          </c:val>
          <c:extLst>
            <c:ext xmlns:c16="http://schemas.microsoft.com/office/drawing/2014/chart" uri="{C3380CC4-5D6E-409C-BE32-E72D297353CC}">
              <c16:uniqueId val="{00000000-C028-4D6A-A55F-DA999D3EB28F}"/>
            </c:ext>
          </c:extLst>
        </c:ser>
        <c:ser>
          <c:idx val="1"/>
          <c:order val="1"/>
          <c:tx>
            <c:strRef>
              <c:f>'Summary Statistics - Negative'!$F$2</c:f>
              <c:strCache>
                <c:ptCount val="1"/>
                <c:pt idx="0">
                  <c:v>Neutral</c:v>
                </c:pt>
              </c:strCache>
            </c:strRef>
          </c:tx>
          <c:spPr>
            <a:solidFill>
              <a:srgbClr val="ECB54F"/>
            </a:solidFill>
            <a:ln>
              <a:noFill/>
            </a:ln>
            <a:effectLst/>
          </c:spPr>
          <c:invertIfNegative val="0"/>
          <c:dLbls>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6-C028-4D6A-A55F-DA999D3EB28F}"/>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5-C028-4D6A-A55F-DA999D3EB28F}"/>
                </c:ext>
              </c:extLst>
            </c:dLbl>
            <c:dLbl>
              <c:idx val="22"/>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4-C028-4D6A-A55F-DA999D3EB28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Statistics - Negative'!$C$3:$C$33</c:f>
              <c:strCache>
                <c:ptCount val="30"/>
                <c:pt idx="0">
                  <c:v>Q21. (Complainant only) Was there any information issues that might have caused problems with making a complaint in the necessary time frame</c:v>
                </c:pt>
                <c:pt idx="1">
                  <c:v>Q16.1. (Complainants only) Was there any information issues that might have caused problems in making a complaint with the necessary timeframe?</c:v>
                </c:pt>
                <c:pt idx="2">
                  <c:v>Q10. How helpful did you find your training with your involvement with Service Complaints?</c:v>
                </c:pt>
                <c:pt idx="3">
                  <c:v>Q6. Do you feel training provides you with adequate awareness of the existence of Service Complaints and the Ombudsman?</c:v>
                </c:pt>
                <c:pt idx="4">
                  <c:v>Q5. Did you know in what ways the Ombudsman could help you in the last 12 months?</c:v>
                </c:pt>
                <c:pt idx="5">
                  <c:v>Q4. Did you know that JSP831 is a main source of information on Service Complaints?</c:v>
                </c:pt>
                <c:pt idx="6">
                  <c:v>Q3. Do you feel information on Service Complaints is easy to find?</c:v>
                </c:pt>
                <c:pt idx="9">
                  <c:v>Q16.8. (Complainants only) Were the decisions on whether to uphold the complaint or not clearly explained?</c:v>
                </c:pt>
                <c:pt idx="10">
                  <c:v>Q16.7. In your opinion, was an appropriate amount of evidence collected to enable a fair decision to be made?</c:v>
                </c:pt>
                <c:pt idx="11">
                  <c:v>Q16.6. Were there regular and informative updates on the progress of this complaint?</c:v>
                </c:pt>
                <c:pt idx="12">
                  <c:v>Q16.5. If so, was the assisting officer helpful?</c:v>
                </c:pt>
                <c:pt idx="13">
                  <c:v>Q16.4. Were you offered an assisting officer?</c:v>
                </c:pt>
                <c:pt idx="14">
                  <c:v>Q16.3. Was there an initial interview to understand the heads of complaint?</c:v>
                </c:pt>
                <c:pt idx="15">
                  <c:v>Q16.2. (Complainants only) Were the reasons for the admissibility decision clearly explained to you?</c:v>
                </c:pt>
                <c:pt idx="18">
                  <c:v>Q13. In your experience, was the Service Complaints process responsive to your particular circumstances (e.g. keeping information confidential, not having access to a computer)</c:v>
                </c:pt>
                <c:pt idx="19">
                  <c:v>Q12. In your experience, is the Service Complaints process open and transparent?</c:v>
                </c:pt>
                <c:pt idx="20">
                  <c:v>Q11. In your experience, was the Service Complaints process simple and straightforward?</c:v>
                </c:pt>
                <c:pt idx="23">
                  <c:v>Q23. Was the underlying problem solved(e.g. did you get the pay/allowance you were looking for; receive the desired promotion or transfer; have the accommodation problem solved; did the bullying, harassment or discrimination stop?)</c:v>
                </c:pt>
                <c:pt idx="24">
                  <c:v>Q24. As the complainant/ respondent, how satisfied were you with the outcome of this complaint</c:v>
                </c:pt>
                <c:pt idx="25">
                  <c:v>Q20. How did your colleagues react to you being the complainant/respondent to a Service complaint?</c:v>
                </c:pt>
                <c:pt idx="26">
                  <c:v>Q18. Was my health and well-being affected by the Service complaints process</c:v>
                </c:pt>
                <c:pt idx="29">
                  <c:v>Q14. Would you recommend others to use the Service Complaints system?</c:v>
                </c:pt>
              </c:strCache>
            </c:strRef>
          </c:cat>
          <c:val>
            <c:numRef>
              <c:f>'Summary Statistics - Negative'!$F$3:$F$33</c:f>
              <c:numCache>
                <c:formatCode>0%</c:formatCode>
                <c:ptCount val="31"/>
                <c:pt idx="0">
                  <c:v>0</c:v>
                </c:pt>
                <c:pt idx="1">
                  <c:v>0</c:v>
                </c:pt>
                <c:pt idx="2">
                  <c:v>0</c:v>
                </c:pt>
                <c:pt idx="3">
                  <c:v>0</c:v>
                </c:pt>
                <c:pt idx="4">
                  <c:v>0</c:v>
                </c:pt>
                <c:pt idx="5">
                  <c:v>0</c:v>
                </c:pt>
                <c:pt idx="6">
                  <c:v>0</c:v>
                </c:pt>
                <c:pt idx="9">
                  <c:v>0</c:v>
                </c:pt>
                <c:pt idx="10">
                  <c:v>0</c:v>
                </c:pt>
                <c:pt idx="11">
                  <c:v>0</c:v>
                </c:pt>
                <c:pt idx="12">
                  <c:v>0</c:v>
                </c:pt>
                <c:pt idx="13">
                  <c:v>0</c:v>
                </c:pt>
                <c:pt idx="14">
                  <c:v>0</c:v>
                </c:pt>
                <c:pt idx="15">
                  <c:v>0</c:v>
                </c:pt>
                <c:pt idx="18">
                  <c:v>0</c:v>
                </c:pt>
                <c:pt idx="19">
                  <c:v>0</c:v>
                </c:pt>
                <c:pt idx="20">
                  <c:v>0</c:v>
                </c:pt>
                <c:pt idx="23">
                  <c:v>0</c:v>
                </c:pt>
                <c:pt idx="24">
                  <c:v>0</c:v>
                </c:pt>
                <c:pt idx="25">
                  <c:v>0</c:v>
                </c:pt>
                <c:pt idx="26">
                  <c:v>0</c:v>
                </c:pt>
                <c:pt idx="29">
                  <c:v>0</c:v>
                </c:pt>
              </c:numCache>
            </c:numRef>
          </c:val>
          <c:extLst>
            <c:ext xmlns:c16="http://schemas.microsoft.com/office/drawing/2014/chart" uri="{C3380CC4-5D6E-409C-BE32-E72D297353CC}">
              <c16:uniqueId val="{00000001-C028-4D6A-A55F-DA999D3EB28F}"/>
            </c:ext>
          </c:extLst>
        </c:ser>
        <c:ser>
          <c:idx val="2"/>
          <c:order val="2"/>
          <c:tx>
            <c:strRef>
              <c:f>'Summary Statistics - Negative'!$G$2</c:f>
              <c:strCache>
                <c:ptCount val="1"/>
                <c:pt idx="0">
                  <c:v>-ve</c:v>
                </c:pt>
              </c:strCache>
            </c:strRef>
          </c:tx>
          <c:spPr>
            <a:solidFill>
              <a:srgbClr val="84221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Statistics - Negative'!$C$3:$C$33</c:f>
              <c:strCache>
                <c:ptCount val="30"/>
                <c:pt idx="0">
                  <c:v>Q21. (Complainant only) Was there any information issues that might have caused problems with making a complaint in the necessary time frame</c:v>
                </c:pt>
                <c:pt idx="1">
                  <c:v>Q16.1. (Complainants only) Was there any information issues that might have caused problems in making a complaint with the necessary timeframe?</c:v>
                </c:pt>
                <c:pt idx="2">
                  <c:v>Q10. How helpful did you find your training with your involvement with Service Complaints?</c:v>
                </c:pt>
                <c:pt idx="3">
                  <c:v>Q6. Do you feel training provides you with adequate awareness of the existence of Service Complaints and the Ombudsman?</c:v>
                </c:pt>
                <c:pt idx="4">
                  <c:v>Q5. Did you know in what ways the Ombudsman could help you in the last 12 months?</c:v>
                </c:pt>
                <c:pt idx="5">
                  <c:v>Q4. Did you know that JSP831 is a main source of information on Service Complaints?</c:v>
                </c:pt>
                <c:pt idx="6">
                  <c:v>Q3. Do you feel information on Service Complaints is easy to find?</c:v>
                </c:pt>
                <c:pt idx="9">
                  <c:v>Q16.8. (Complainants only) Were the decisions on whether to uphold the complaint or not clearly explained?</c:v>
                </c:pt>
                <c:pt idx="10">
                  <c:v>Q16.7. In your opinion, was an appropriate amount of evidence collected to enable a fair decision to be made?</c:v>
                </c:pt>
                <c:pt idx="11">
                  <c:v>Q16.6. Were there regular and informative updates on the progress of this complaint?</c:v>
                </c:pt>
                <c:pt idx="12">
                  <c:v>Q16.5. If so, was the assisting officer helpful?</c:v>
                </c:pt>
                <c:pt idx="13">
                  <c:v>Q16.4. Were you offered an assisting officer?</c:v>
                </c:pt>
                <c:pt idx="14">
                  <c:v>Q16.3. Was there an initial interview to understand the heads of complaint?</c:v>
                </c:pt>
                <c:pt idx="15">
                  <c:v>Q16.2. (Complainants only) Were the reasons for the admissibility decision clearly explained to you?</c:v>
                </c:pt>
                <c:pt idx="18">
                  <c:v>Q13. In your experience, was the Service Complaints process responsive to your particular circumstances (e.g. keeping information confidential, not having access to a computer)</c:v>
                </c:pt>
                <c:pt idx="19">
                  <c:v>Q12. In your experience, is the Service Complaints process open and transparent?</c:v>
                </c:pt>
                <c:pt idx="20">
                  <c:v>Q11. In your experience, was the Service Complaints process simple and straightforward?</c:v>
                </c:pt>
                <c:pt idx="23">
                  <c:v>Q23. Was the underlying problem solved(e.g. did you get the pay/allowance you were looking for; receive the desired promotion or transfer; have the accommodation problem solved; did the bullying, harassment or discrimination stop?)</c:v>
                </c:pt>
                <c:pt idx="24">
                  <c:v>Q24. As the complainant/ respondent, how satisfied were you with the outcome of this complaint</c:v>
                </c:pt>
                <c:pt idx="25">
                  <c:v>Q20. How did your colleagues react to you being the complainant/respondent to a Service complaint?</c:v>
                </c:pt>
                <c:pt idx="26">
                  <c:v>Q18. Was my health and well-being affected by the Service complaints process</c:v>
                </c:pt>
                <c:pt idx="29">
                  <c:v>Q14. Would you recommend others to use the Service Complaints system?</c:v>
                </c:pt>
              </c:strCache>
            </c:strRef>
          </c:cat>
          <c:val>
            <c:numRef>
              <c:f>'Summary Statistics - Negative'!$G$3:$G$33</c:f>
              <c:numCache>
                <c:formatCode>0%</c:formatCode>
                <c:ptCount val="31"/>
                <c:pt idx="0">
                  <c:v>0</c:v>
                </c:pt>
                <c:pt idx="1">
                  <c:v>0</c:v>
                </c:pt>
                <c:pt idx="2">
                  <c:v>0</c:v>
                </c:pt>
                <c:pt idx="3">
                  <c:v>0</c:v>
                </c:pt>
                <c:pt idx="4">
                  <c:v>0</c:v>
                </c:pt>
                <c:pt idx="5">
                  <c:v>0</c:v>
                </c:pt>
                <c:pt idx="6">
                  <c:v>0</c:v>
                </c:pt>
                <c:pt idx="9">
                  <c:v>0</c:v>
                </c:pt>
                <c:pt idx="10">
                  <c:v>0</c:v>
                </c:pt>
                <c:pt idx="11">
                  <c:v>0</c:v>
                </c:pt>
                <c:pt idx="12">
                  <c:v>0</c:v>
                </c:pt>
                <c:pt idx="13">
                  <c:v>0</c:v>
                </c:pt>
                <c:pt idx="14">
                  <c:v>0</c:v>
                </c:pt>
                <c:pt idx="15">
                  <c:v>0</c:v>
                </c:pt>
                <c:pt idx="18">
                  <c:v>0</c:v>
                </c:pt>
                <c:pt idx="19">
                  <c:v>0</c:v>
                </c:pt>
                <c:pt idx="20">
                  <c:v>0</c:v>
                </c:pt>
                <c:pt idx="23">
                  <c:v>0</c:v>
                </c:pt>
                <c:pt idx="24">
                  <c:v>0</c:v>
                </c:pt>
                <c:pt idx="25">
                  <c:v>0</c:v>
                </c:pt>
                <c:pt idx="26">
                  <c:v>0</c:v>
                </c:pt>
                <c:pt idx="29">
                  <c:v>0</c:v>
                </c:pt>
              </c:numCache>
            </c:numRef>
          </c:val>
          <c:extLst>
            <c:ext xmlns:c16="http://schemas.microsoft.com/office/drawing/2014/chart" uri="{C3380CC4-5D6E-409C-BE32-E72D297353CC}">
              <c16:uniqueId val="{00000002-C028-4D6A-A55F-DA999D3EB28F}"/>
            </c:ext>
          </c:extLst>
        </c:ser>
        <c:dLbls>
          <c:dLblPos val="ctr"/>
          <c:showLegendKey val="0"/>
          <c:showVal val="1"/>
          <c:showCatName val="0"/>
          <c:showSerName val="0"/>
          <c:showPercent val="0"/>
          <c:showBubbleSize val="0"/>
        </c:dLbls>
        <c:gapWidth val="182"/>
        <c:overlap val="100"/>
        <c:axId val="244168768"/>
        <c:axId val="809141600"/>
      </c:barChart>
      <c:catAx>
        <c:axId val="244168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809141600"/>
        <c:crosses val="autoZero"/>
        <c:auto val="0"/>
        <c:lblAlgn val="l"/>
        <c:lblOffset val="100"/>
        <c:noMultiLvlLbl val="0"/>
      </c:catAx>
      <c:valAx>
        <c:axId val="8091416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4168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a:solidFill>
                  <a:schemeClr val="tx1"/>
                </a:solidFill>
              </a:rPr>
              <a:t>Chart of negative response in Service Complaints Feedback Survey, January - December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2"/>
          <c:order val="0"/>
          <c:tx>
            <c:strRef>
              <c:f>'Summary Statistics - Negative'!$G$2</c:f>
              <c:strCache>
                <c:ptCount val="1"/>
                <c:pt idx="0">
                  <c:v>-ve</c:v>
                </c:pt>
              </c:strCache>
            </c:strRef>
          </c:tx>
          <c:spPr>
            <a:solidFill>
              <a:srgbClr val="84221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'Summary Statistics - Negative'!$B$3:$B$32</c15:sqref>
                  </c15:fullRef>
                </c:ext>
              </c:extLst>
              <c:f>'Summary Statistics - Negative'!$B$4:$B$32</c:f>
              <c:strCache>
                <c:ptCount val="29"/>
                <c:pt idx="0">
                  <c:v>% had information issues that could've caused timing problems with making a complaint (complainants only)</c:v>
                </c:pt>
                <c:pt idx="1">
                  <c:v>% didn't find training helpful with their involvement with Service Complaints?</c:v>
                </c:pt>
                <c:pt idx="2">
                  <c:v>NON USERS - % feel training provides adequate awareness of the existence of Service Complaints and the Ombudsman</c:v>
                </c:pt>
                <c:pt idx="3">
                  <c:v>NON USERS - % didn't know the ways the Ombudsman could help?</c:v>
                </c:pt>
                <c:pt idx="4">
                  <c:v>NON USERS - % didn't know that JSP831 is a main source of information on Service Complaints</c:v>
                </c:pt>
                <c:pt idx="5">
                  <c:v>NON USERS - % didn't feel information on Service Complaints easy to find</c:v>
                </c:pt>
                <c:pt idx="8">
                  <c:v>% found decisions on whether to uphold the complaint or not were not clearly explained (complainants only)</c:v>
                </c:pt>
                <c:pt idx="9">
                  <c:v>% thought the appropriate amount of evidence was not collected to enable a fair decision to be made (complainants and respondents)</c:v>
                </c:pt>
                <c:pt idx="10">
                  <c:v>% thought there wasn't regular and informative updates on the progress of this complaint (complainants and respondents)</c:v>
                </c:pt>
                <c:pt idx="11">
                  <c:v>% thought that the assisting officer was not helpful (complainants and respondents)</c:v>
                </c:pt>
                <c:pt idx="12">
                  <c:v>% were not offered an assisting officer (complainants and respondents)</c:v>
                </c:pt>
                <c:pt idx="13">
                  <c:v>% lacked an initial interview to understand the heads of complaint (complainants and respondents)</c:v>
                </c:pt>
                <c:pt idx="14">
                  <c:v>% found the reasons for the admissibility decision were not clearly explained (complainants only)</c:v>
                </c:pt>
                <c:pt idx="17">
                  <c:v>% found the Service Complaints process wasn't responsive to your particular circumstances (e.g. keeping information confidential)</c:v>
                </c:pt>
                <c:pt idx="18">
                  <c:v>% found the Service Complaints process wasn't open and transparent?</c:v>
                </c:pt>
                <c:pt idx="19">
                  <c:v>% found the Service Complaints process wasn't simple and straightforward?</c:v>
                </c:pt>
                <c:pt idx="22">
                  <c:v>% found the underlying problem was not solved (complainants and respondents)</c:v>
                </c:pt>
                <c:pt idx="23">
                  <c:v>% were dissatisfied with the outcome of this complaint (complainants and respondents)</c:v>
                </c:pt>
                <c:pt idx="24">
                  <c:v>% found their colleagues were disappointed with them being the complainant/respondent to a Service complaint</c:v>
                </c:pt>
                <c:pt idx="25">
                  <c:v>% found their health and well-being was affected by the Service complaints process (complainants and respondents)</c:v>
                </c:pt>
                <c:pt idx="28">
                  <c:v>% would not recommend others to use the Service Complaints system</c:v>
                </c:pt>
              </c:strCache>
            </c:strRef>
          </c:cat>
          <c:val>
            <c:numRef>
              <c:extLst>
                <c:ext xmlns:c15="http://schemas.microsoft.com/office/drawing/2012/chart" uri="{02D57815-91ED-43cb-92C2-25804820EDAC}">
                  <c15:fullRef>
                    <c15:sqref>'Summary Statistics - Negative'!$G$3:$G$33</c15:sqref>
                  </c15:fullRef>
                </c:ext>
              </c:extLst>
              <c:f>'Summary Statistics - Negative'!$G$4:$G$33</c:f>
              <c:numCache>
                <c:formatCode>0%</c:formatCode>
                <c:ptCount val="30"/>
                <c:pt idx="0">
                  <c:v>0</c:v>
                </c:pt>
                <c:pt idx="1">
                  <c:v>0</c:v>
                </c:pt>
                <c:pt idx="2">
                  <c:v>0</c:v>
                </c:pt>
                <c:pt idx="3">
                  <c:v>0</c:v>
                </c:pt>
                <c:pt idx="4">
                  <c:v>0</c:v>
                </c:pt>
                <c:pt idx="5">
                  <c:v>0</c:v>
                </c:pt>
                <c:pt idx="8">
                  <c:v>0</c:v>
                </c:pt>
                <c:pt idx="9">
                  <c:v>0</c:v>
                </c:pt>
                <c:pt idx="10">
                  <c:v>0</c:v>
                </c:pt>
                <c:pt idx="11">
                  <c:v>0</c:v>
                </c:pt>
                <c:pt idx="12">
                  <c:v>0</c:v>
                </c:pt>
                <c:pt idx="13">
                  <c:v>0</c:v>
                </c:pt>
                <c:pt idx="14">
                  <c:v>0</c:v>
                </c:pt>
                <c:pt idx="17">
                  <c:v>0</c:v>
                </c:pt>
                <c:pt idx="18">
                  <c:v>0</c:v>
                </c:pt>
                <c:pt idx="19">
                  <c:v>0</c:v>
                </c:pt>
                <c:pt idx="22">
                  <c:v>0</c:v>
                </c:pt>
                <c:pt idx="23">
                  <c:v>0</c:v>
                </c:pt>
                <c:pt idx="24">
                  <c:v>0</c:v>
                </c:pt>
                <c:pt idx="25">
                  <c:v>0</c:v>
                </c:pt>
                <c:pt idx="28">
                  <c:v>0</c:v>
                </c:pt>
              </c:numCache>
            </c:numRef>
          </c:val>
          <c:extLst>
            <c:ext xmlns:c16="http://schemas.microsoft.com/office/drawing/2014/chart" uri="{C3380CC4-5D6E-409C-BE32-E72D297353CC}">
              <c16:uniqueId val="{00000005-C0B0-436B-8551-DC312EF5BB77}"/>
            </c:ext>
          </c:extLst>
        </c:ser>
        <c:dLbls>
          <c:dLblPos val="ctr"/>
          <c:showLegendKey val="0"/>
          <c:showVal val="1"/>
          <c:showCatName val="0"/>
          <c:showSerName val="0"/>
          <c:showPercent val="0"/>
          <c:showBubbleSize val="0"/>
        </c:dLbls>
        <c:gapWidth val="182"/>
        <c:axId val="244168768"/>
        <c:axId val="809141600"/>
      </c:barChart>
      <c:catAx>
        <c:axId val="244168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809141600"/>
        <c:crosses val="autoZero"/>
        <c:auto val="0"/>
        <c:lblAlgn val="l"/>
        <c:lblOffset val="100"/>
        <c:noMultiLvlLbl val="0"/>
      </c:catAx>
      <c:valAx>
        <c:axId val="809141600"/>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44168768"/>
        <c:crosses val="autoZero"/>
        <c:crossBetween val="between"/>
        <c:majorUnit val="0.2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28575</xdr:rowOff>
    </xdr:from>
    <xdr:ext cx="2105024" cy="982980"/>
    <xdr:pic>
      <xdr:nvPicPr>
        <xdr:cNvPr id="2" name="Picture 1" descr="S:\Communications\Branding\SCO brand\hi-res files\SCO_colour_AW_CMYK.png">
          <a:extLst>
            <a:ext uri="{FF2B5EF4-FFF2-40B4-BE49-F238E27FC236}">
              <a16:creationId xmlns:a16="http://schemas.microsoft.com/office/drawing/2014/main" id="{EAD5334D-2BE6-4DF6-8F8F-5DB7C9EF98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105024" cy="98298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190499</xdr:rowOff>
    </xdr:from>
    <xdr:to>
      <xdr:col>27</xdr:col>
      <xdr:colOff>152400</xdr:colOff>
      <xdr:row>60</xdr:row>
      <xdr:rowOff>81643</xdr:rowOff>
    </xdr:to>
    <xdr:graphicFrame macro="">
      <xdr:nvGraphicFramePr>
        <xdr:cNvPr id="3" name="Chart 2">
          <a:extLst>
            <a:ext uri="{FF2B5EF4-FFF2-40B4-BE49-F238E27FC236}">
              <a16:creationId xmlns:a16="http://schemas.microsoft.com/office/drawing/2014/main" id="{54CCECBA-FE38-42BC-B2BD-51F97795A6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163285</xdr:rowOff>
    </xdr:from>
    <xdr:to>
      <xdr:col>26</xdr:col>
      <xdr:colOff>598715</xdr:colOff>
      <xdr:row>62</xdr:row>
      <xdr:rowOff>0</xdr:rowOff>
    </xdr:to>
    <xdr:graphicFrame macro="">
      <xdr:nvGraphicFramePr>
        <xdr:cNvPr id="2" name="Chart 1">
          <a:extLst>
            <a:ext uri="{FF2B5EF4-FFF2-40B4-BE49-F238E27FC236}">
              <a16:creationId xmlns:a16="http://schemas.microsoft.com/office/drawing/2014/main" id="{FA4482B1-E5B1-4AB1-8FED-E50CF18670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0.32273</cdr:x>
      <cdr:y>0.06831</cdr:y>
    </cdr:from>
    <cdr:to>
      <cdr:x>0.39613</cdr:x>
      <cdr:y>0.10621</cdr:y>
    </cdr:to>
    <cdr:sp macro="" textlink="">
      <cdr:nvSpPr>
        <cdr:cNvPr id="2" name="TextBox 2">
          <a:extLst xmlns:a="http://schemas.openxmlformats.org/drawingml/2006/main">
            <a:ext uri="{FF2B5EF4-FFF2-40B4-BE49-F238E27FC236}">
              <a16:creationId xmlns:a16="http://schemas.microsoft.com/office/drawing/2014/main" id="{FE329AB6-75EF-48C9-A173-E04B3977B1D9}"/>
            </a:ext>
          </a:extLst>
        </cdr:cNvPr>
        <cdr:cNvSpPr txBox="1"/>
      </cdr:nvSpPr>
      <cdr:spPr>
        <a:xfrm xmlns:a="http://schemas.openxmlformats.org/drawingml/2006/main">
          <a:off x="5331224" y="756659"/>
          <a:ext cx="1212459" cy="419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200" b="1" u="sng"/>
            <a:t>Key Question</a:t>
          </a:r>
        </a:p>
      </cdr:txBody>
    </cdr:sp>
  </cdr:relSizeAnchor>
  <cdr:relSizeAnchor xmlns:cdr="http://schemas.openxmlformats.org/drawingml/2006/chartDrawing">
    <cdr:from>
      <cdr:x>0.2958</cdr:x>
      <cdr:y>0.15756</cdr:y>
    </cdr:from>
    <cdr:to>
      <cdr:x>0.42751</cdr:x>
      <cdr:y>0.19545</cdr:y>
    </cdr:to>
    <cdr:sp macro="" textlink="">
      <cdr:nvSpPr>
        <cdr:cNvPr id="3" name="TextBox 2">
          <a:extLst xmlns:a="http://schemas.openxmlformats.org/drawingml/2006/main">
            <a:ext uri="{FF2B5EF4-FFF2-40B4-BE49-F238E27FC236}">
              <a16:creationId xmlns:a16="http://schemas.microsoft.com/office/drawing/2014/main" id="{22A94F5A-88CB-420D-8AE6-D7325D717C85}"/>
            </a:ext>
          </a:extLst>
        </cdr:cNvPr>
        <cdr:cNvSpPr txBox="1"/>
      </cdr:nvSpPr>
      <cdr:spPr>
        <a:xfrm xmlns:a="http://schemas.openxmlformats.org/drawingml/2006/main">
          <a:off x="4886386" y="1745123"/>
          <a:ext cx="2175721" cy="4197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200" b="1" u="sng"/>
            <a:t>Service Complaint Objectives</a:t>
          </a:r>
        </a:p>
      </cdr:txBody>
    </cdr:sp>
  </cdr:relSizeAnchor>
  <cdr:relSizeAnchor xmlns:cdr="http://schemas.openxmlformats.org/drawingml/2006/chartDrawing">
    <cdr:from>
      <cdr:x>0.31539</cdr:x>
      <cdr:y>0.34093</cdr:y>
    </cdr:from>
    <cdr:to>
      <cdr:x>0.40939</cdr:x>
      <cdr:y>0.37883</cdr:y>
    </cdr:to>
    <cdr:sp macro="" textlink="">
      <cdr:nvSpPr>
        <cdr:cNvPr id="4" name="TextBox 1">
          <a:extLst xmlns:a="http://schemas.openxmlformats.org/drawingml/2006/main">
            <a:ext uri="{FF2B5EF4-FFF2-40B4-BE49-F238E27FC236}">
              <a16:creationId xmlns:a16="http://schemas.microsoft.com/office/drawing/2014/main" id="{8E6F62E1-FA54-4D5F-BD65-968EEA36F83E}"/>
            </a:ext>
          </a:extLst>
        </cdr:cNvPr>
        <cdr:cNvSpPr txBox="1"/>
      </cdr:nvSpPr>
      <cdr:spPr>
        <a:xfrm xmlns:a="http://schemas.openxmlformats.org/drawingml/2006/main">
          <a:off x="5209979" y="3776214"/>
          <a:ext cx="1552845" cy="4197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200" b="1" u="sng"/>
            <a:t>Process Overview</a:t>
          </a:r>
        </a:p>
      </cdr:txBody>
    </cdr:sp>
  </cdr:relSizeAnchor>
  <cdr:relSizeAnchor xmlns:cdr="http://schemas.openxmlformats.org/drawingml/2006/chartDrawing">
    <cdr:from>
      <cdr:x>0.31051</cdr:x>
      <cdr:y>0.48764</cdr:y>
    </cdr:from>
    <cdr:to>
      <cdr:x>0.41351</cdr:x>
      <cdr:y>0.52554</cdr:y>
    </cdr:to>
    <cdr:sp macro="" textlink="">
      <cdr:nvSpPr>
        <cdr:cNvPr id="5" name="TextBox 1">
          <a:extLst xmlns:a="http://schemas.openxmlformats.org/drawingml/2006/main">
            <a:ext uri="{FF2B5EF4-FFF2-40B4-BE49-F238E27FC236}">
              <a16:creationId xmlns:a16="http://schemas.microsoft.com/office/drawing/2014/main" id="{1E63FF52-9CB4-4A72-9355-2ACEB3C9D247}"/>
            </a:ext>
          </a:extLst>
        </cdr:cNvPr>
        <cdr:cNvSpPr txBox="1"/>
      </cdr:nvSpPr>
      <cdr:spPr>
        <a:xfrm xmlns:a="http://schemas.openxmlformats.org/drawingml/2006/main">
          <a:off x="5129419" y="5401218"/>
          <a:ext cx="1701366" cy="419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200" b="1" u="sng"/>
            <a:t>Adminsistrative Steps</a:t>
          </a:r>
        </a:p>
      </cdr:txBody>
    </cdr:sp>
  </cdr:relSizeAnchor>
  <cdr:relSizeAnchor xmlns:cdr="http://schemas.openxmlformats.org/drawingml/2006/chartDrawing">
    <cdr:from>
      <cdr:x>0.2917</cdr:x>
      <cdr:y>0.76641</cdr:y>
    </cdr:from>
    <cdr:to>
      <cdr:x>0.42586</cdr:x>
      <cdr:y>0.80431</cdr:y>
    </cdr:to>
    <cdr:sp macro="" textlink="">
      <cdr:nvSpPr>
        <cdr:cNvPr id="6" name="TextBox 1">
          <a:extLst xmlns:a="http://schemas.openxmlformats.org/drawingml/2006/main">
            <a:ext uri="{FF2B5EF4-FFF2-40B4-BE49-F238E27FC236}">
              <a16:creationId xmlns:a16="http://schemas.microsoft.com/office/drawing/2014/main" id="{2D0019E1-1909-4435-8EC3-CEAB9A306CF2}"/>
            </a:ext>
          </a:extLst>
        </cdr:cNvPr>
        <cdr:cNvSpPr txBox="1"/>
      </cdr:nvSpPr>
      <cdr:spPr>
        <a:xfrm xmlns:a="http://schemas.openxmlformats.org/drawingml/2006/main">
          <a:off x="4818620" y="8488943"/>
          <a:ext cx="2216271" cy="419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200" b="1" u="sng"/>
            <a:t>Information about the process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dgovuk-my.sharepoint.com/teams/300830/Calc/SCOAF%20RAP/SCOAF%20Operations%20RAP_2021_12-31(Extract%2021-12-31)_(Sharepoint)_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asework\2014%20Casework%20Log\NEW%202014%20LO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cs\004_Monthly%20SCO%20figures\202005%20-%20DRAFT%20-%20SCO%20trend%20update_v3(new%20timeliness%20and%20duration%20defn%20-%20mth%20to%20d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asework\2012%20Casework%20Log\NEW%202012%20LO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tatistics\004_Monthly%20SCO%20figures\Monthly%20Summar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dcoded - excluded cases"/>
      <sheetName val="Bank Holidays"/>
      <sheetName val="List of Valid INV entries"/>
      <sheetName val="Start and End Dates"/>
      <sheetName val="Switches-Validated Selections"/>
      <sheetName val="NEW Aggregate Formula"/>
      <sheetName val="NEW Case Type Formula"/>
      <sheetName val="NEW Other Fields Formula"/>
      <sheetName val="NEW Metrics Formula"/>
      <sheetName val="Enquiries and Referals Log 2021"/>
      <sheetName val="Sheet1"/>
      <sheetName val="Cases Data"/>
      <sheetName val="Main Warehouse"/>
      <sheetName val="Mthly Warehouse"/>
      <sheetName val="ENQ_REF Warehouse"/>
      <sheetName val="Summary"/>
      <sheetName val="Mthly Output to Mgt Bd"/>
      <sheetName val="Investigator Performance"/>
      <sheetName val="Mthly - SCOAF - Tables"/>
      <sheetName val="Mthly - SCOAF - Charts"/>
      <sheetName val="QSR"/>
      <sheetName val="1.1"/>
      <sheetName val="1.2"/>
      <sheetName val="1.3"/>
      <sheetName val="1.4"/>
      <sheetName val="1.5"/>
      <sheetName val="1.6"/>
      <sheetName val="1.7"/>
      <sheetName val="1.8"/>
      <sheetName val="1.9"/>
      <sheetName val="1.10"/>
      <sheetName val="1.11"/>
      <sheetName val="1.12"/>
      <sheetName val="1.13"/>
      <sheetName val="1.14"/>
      <sheetName val="1.15"/>
      <sheetName val="Mthly - COO - Ops Profile (Ori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CASE LOG"/>
      <sheetName val="Equivalent Ranks"/>
      <sheetName val="Categories"/>
      <sheetName val="Do not change"/>
      <sheetName val="Hotspots"/>
      <sheetName val="Sheet1"/>
      <sheetName val="Annual Returns"/>
      <sheetName val="2014_CASE_LOG"/>
      <sheetName val="Equivalent_Ranks"/>
      <sheetName val="Do_not_change"/>
      <sheetName val="Annual_Returns"/>
    </sheetNames>
    <sheetDataSet>
      <sheetData sheetId="0">
        <row r="5">
          <cell r="A5" t="str">
            <v>001/14</v>
          </cell>
        </row>
      </sheetData>
      <sheetData sheetId="1"/>
      <sheetData sheetId="2"/>
      <sheetData sheetId="3">
        <row r="3">
          <cell r="K3" t="str">
            <v>Rct</v>
          </cell>
        </row>
        <row r="4">
          <cell r="K4" t="str">
            <v>Pte</v>
          </cell>
        </row>
        <row r="5">
          <cell r="K5" t="str">
            <v>NCO</v>
          </cell>
        </row>
        <row r="6">
          <cell r="B6" t="str">
            <v>Yes</v>
          </cell>
          <cell r="K6" t="str">
            <v>Officer Cadet</v>
          </cell>
        </row>
        <row r="7">
          <cell r="B7" t="str">
            <v>No</v>
          </cell>
          <cell r="K7" t="str">
            <v xml:space="preserve">Officer </v>
          </cell>
        </row>
        <row r="10">
          <cell r="B10" t="str">
            <v>Yes</v>
          </cell>
        </row>
        <row r="11">
          <cell r="B11" t="str">
            <v>No</v>
          </cell>
          <cell r="E11" t="str">
            <v>RN</v>
          </cell>
        </row>
        <row r="12">
          <cell r="B12" t="str">
            <v>N/A</v>
          </cell>
          <cell r="E12" t="str">
            <v>RM</v>
          </cell>
        </row>
        <row r="13">
          <cell r="E13" t="str">
            <v>Army</v>
          </cell>
        </row>
        <row r="14">
          <cell r="E14" t="str">
            <v>RAF</v>
          </cell>
        </row>
        <row r="16">
          <cell r="B16" t="str">
            <v>P1</v>
          </cell>
        </row>
        <row r="17">
          <cell r="B17" t="str">
            <v>P2</v>
          </cell>
        </row>
        <row r="18">
          <cell r="B18" t="str">
            <v>P3</v>
          </cell>
        </row>
        <row r="20">
          <cell r="E20" t="str">
            <v>Process</v>
          </cell>
        </row>
        <row r="21">
          <cell r="B21" t="str">
            <v>Upheld</v>
          </cell>
          <cell r="E21" t="str">
            <v>Delay</v>
          </cell>
        </row>
        <row r="22">
          <cell r="B22" t="str">
            <v>Partially Upheld</v>
          </cell>
          <cell r="E22" t="str">
            <v>Both</v>
          </cell>
        </row>
        <row r="23">
          <cell r="B23" t="str">
            <v>Not Upheld</v>
          </cell>
        </row>
        <row r="24">
          <cell r="B24" t="str">
            <v>Partially Upheld &amp; Referred to Level 2</v>
          </cell>
        </row>
        <row r="25">
          <cell r="B25" t="str">
            <v>Partially Ruled Out of Time/Partially Not Accepted</v>
          </cell>
        </row>
        <row r="26">
          <cell r="B26" t="str">
            <v>Referred to Level 2</v>
          </cell>
        </row>
        <row r="27">
          <cell r="B27" t="str">
            <v>Referred to Level 3</v>
          </cell>
        </row>
        <row r="28">
          <cell r="B28" t="str">
            <v>Ruled Out of Time</v>
          </cell>
        </row>
        <row r="29">
          <cell r="B29" t="str">
            <v>Partially Decided</v>
          </cell>
        </row>
        <row r="30">
          <cell r="B30" t="str">
            <v>Not Accepted/Excluded Matter</v>
          </cell>
        </row>
        <row r="32">
          <cell r="B32" t="str">
            <v>N/A</v>
          </cell>
        </row>
        <row r="33">
          <cell r="B33" t="str">
            <v>Upheld</v>
          </cell>
        </row>
        <row r="34">
          <cell r="B34" t="str">
            <v>Upheld</v>
          </cell>
        </row>
        <row r="35">
          <cell r="B35" t="str">
            <v>Partially Upheld</v>
          </cell>
        </row>
        <row r="36">
          <cell r="B36" t="str">
            <v>Not Upheld</v>
          </cell>
        </row>
        <row r="37">
          <cell r="B37" t="str">
            <v>Partially Upheld &amp; Referred to Level 3</v>
          </cell>
        </row>
        <row r="38">
          <cell r="B38" t="str">
            <v>Referred to Level 3</v>
          </cell>
        </row>
        <row r="40">
          <cell r="B40" t="str">
            <v>TBC</v>
          </cell>
        </row>
        <row r="41">
          <cell r="B41" t="str">
            <v>N/A</v>
          </cell>
        </row>
        <row r="42">
          <cell r="B42" t="str">
            <v>Upheld</v>
          </cell>
        </row>
        <row r="43">
          <cell r="B43" t="str">
            <v>Upheld</v>
          </cell>
        </row>
        <row r="44">
          <cell r="B44" t="str">
            <v>Partially Upheld</v>
          </cell>
        </row>
        <row r="46">
          <cell r="B46" t="str">
            <v>TBC</v>
          </cell>
        </row>
        <row r="47">
          <cell r="B47" t="str">
            <v>N/A</v>
          </cell>
        </row>
        <row r="48">
          <cell r="B48" t="str">
            <v>SCP</v>
          </cell>
        </row>
        <row r="55">
          <cell r="B55" t="str">
            <v>Jo-Anne</v>
          </cell>
        </row>
        <row r="56">
          <cell r="B56" t="str">
            <v>TBC</v>
          </cell>
        </row>
        <row r="57">
          <cell r="B57" t="str">
            <v>Lisa</v>
          </cell>
        </row>
        <row r="58">
          <cell r="B58" t="str">
            <v>Lisa</v>
          </cell>
        </row>
        <row r="59">
          <cell r="B59" t="str">
            <v>Allan</v>
          </cell>
        </row>
        <row r="61">
          <cell r="B61" t="str">
            <v>Jayne</v>
          </cell>
        </row>
        <row r="62">
          <cell r="B62" t="str">
            <v>Jo-Anne</v>
          </cell>
        </row>
        <row r="63">
          <cell r="B63" t="str">
            <v>UK</v>
          </cell>
        </row>
        <row r="64">
          <cell r="B64" t="str">
            <v>UK</v>
          </cell>
        </row>
        <row r="65">
          <cell r="B65" t="str">
            <v>Germany</v>
          </cell>
        </row>
        <row r="66">
          <cell r="B66" t="str">
            <v>Cyprus</v>
          </cell>
        </row>
        <row r="67">
          <cell r="B67" t="str">
            <v>Gibraltar</v>
          </cell>
        </row>
        <row r="68">
          <cell r="B68" t="str">
            <v>Falklands</v>
          </cell>
        </row>
        <row r="76">
          <cell r="B76" t="str">
            <v>D</v>
          </cell>
        </row>
        <row r="77">
          <cell r="B77" t="str">
            <v>N/A</v>
          </cell>
        </row>
        <row r="78">
          <cell r="B78" t="str">
            <v>Prescribed</v>
          </cell>
        </row>
        <row r="79">
          <cell r="B79" t="str">
            <v>Prescribed</v>
          </cell>
        </row>
        <row r="81">
          <cell r="B81" t="str">
            <v>N/A</v>
          </cell>
        </row>
        <row r="82">
          <cell r="B82" t="str">
            <v>TBC</v>
          </cell>
        </row>
        <row r="83">
          <cell r="B83" t="str">
            <v>CO</v>
          </cell>
        </row>
        <row r="85">
          <cell r="B85" t="str">
            <v>Svc Sec</v>
          </cell>
        </row>
        <row r="86">
          <cell r="B86" t="str">
            <v>Snr Off</v>
          </cell>
        </row>
        <row r="87">
          <cell r="B87" t="str">
            <v>SCC Website</v>
          </cell>
        </row>
        <row r="88">
          <cell r="B88" t="str">
            <v>SCC Website</v>
          </cell>
        </row>
        <row r="89">
          <cell r="B89" t="str">
            <v>SCC Leaflet</v>
          </cell>
        </row>
        <row r="90">
          <cell r="B90" t="str">
            <v>SCC Poster</v>
          </cell>
        </row>
        <row r="91">
          <cell r="B91" t="str">
            <v>SCC Advert</v>
          </cell>
        </row>
        <row r="92">
          <cell r="B92" t="str">
            <v>Defence Intranet</v>
          </cell>
        </row>
        <row r="94">
          <cell r="B94" t="str">
            <v>JSP</v>
          </cell>
        </row>
        <row r="95">
          <cell r="B95" t="str">
            <v xml:space="preserve">Other - specify </v>
          </cell>
        </row>
        <row r="96">
          <cell r="B96" t="str">
            <v>Not aware of other options</v>
          </cell>
        </row>
        <row r="97">
          <cell r="B97" t="str">
            <v>Not aware of other options</v>
          </cell>
        </row>
      </sheetData>
      <sheetData sheetId="4"/>
      <sheetData sheetId="5"/>
      <sheetData sheetId="6" refreshError="1"/>
      <sheetData sheetId="7" refreshError="1"/>
      <sheetData sheetId="8"/>
      <sheetData sheetId="9">
        <row r="3">
          <cell r="K3" t="str">
            <v>Rct</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ormance Summary"/>
      <sheetName val="Guidance"/>
      <sheetName val="Summary"/>
      <sheetName val="Lookup Values"/>
      <sheetName val="Unassigned MAL+SUB backlog calc"/>
      <sheetName val="Bank Holidays"/>
      <sheetName val="Sheet9"/>
      <sheetName val="Detailed - Enq (m)"/>
      <sheetName val="Detailed - Ref (m)"/>
      <sheetName val="Sheet118"/>
      <sheetName val="Detailed - Enq"/>
      <sheetName val="Detailed - Ref"/>
      <sheetName val="Detailed - Inv"/>
      <sheetName val="Detailed - Inv (m)"/>
      <sheetName val="Quick Table for Eleanor"/>
      <sheetName val="Sheet2"/>
      <sheetName val="Sheet1"/>
      <sheetName val="Data"/>
      <sheetName val="OUTPUT - COO MTHLY PROFILE"/>
      <sheetName val="OUTPUT- MOD RETURN - Charts(m)"/>
      <sheetName val="OUTPUT- MOD RETURN - Table (m)"/>
      <sheetName val="OUTPUT- MOD RETURN -Staffing"/>
      <sheetName val="OUTPUT- MOD RETURN - Charts"/>
      <sheetName val="OUTPUT- MOD RETURN - Table"/>
      <sheetName val="OUTPUT - QSR Bullet Points"/>
      <sheetName val="OUTPUT - QSR Chart 1"/>
      <sheetName val="OUTPUT - QSR Chart 2"/>
      <sheetName val="OUTPUT - QSR Chart 3"/>
      <sheetName val="OUTPUT - QSR Chart 4"/>
      <sheetName val="OUTPUT - QSR Chart 4 (NS)"/>
      <sheetName val="OUTPUT - QSR Chart 4 (Army)"/>
      <sheetName val="OUTPUT - QSR Chart 4 (RAF)"/>
      <sheetName val="OUTPUT - QSR Chart 4 (Unknown)"/>
      <sheetName val="OUTPUT - QSR Chart 4 (Check)"/>
      <sheetName val="OUTPUT-QSR Chart 4 (Tri v Arm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CASE LOG"/>
      <sheetName val="Equivalent Ranks"/>
      <sheetName val="Categories"/>
      <sheetName val="Do not change"/>
      <sheetName val="Hotspots"/>
      <sheetName val="Sheet1"/>
      <sheetName val="2012_CASE_LOG"/>
      <sheetName val="2012_CASE_LOG1"/>
      <sheetName val="Equivalent_Ranks"/>
      <sheetName val="Do_not_change"/>
    </sheetNames>
    <sheetDataSet>
      <sheetData sheetId="0">
        <row r="5">
          <cell r="A5" t="str">
            <v>001/12</v>
          </cell>
        </row>
      </sheetData>
      <sheetData sheetId="1"/>
      <sheetData sheetId="2"/>
      <sheetData sheetId="3">
        <row r="4">
          <cell r="E4" t="str">
            <v>N/K</v>
          </cell>
        </row>
        <row r="5">
          <cell r="E5" t="str">
            <v>N/A</v>
          </cell>
        </row>
        <row r="6">
          <cell r="E6" t="str">
            <v>RN</v>
          </cell>
        </row>
        <row r="7">
          <cell r="E7" t="str">
            <v>RM</v>
          </cell>
        </row>
        <row r="8">
          <cell r="E8" t="str">
            <v>Army</v>
          </cell>
          <cell r="H8" t="str">
            <v>Male</v>
          </cell>
        </row>
        <row r="9">
          <cell r="E9" t="str">
            <v>RAF</v>
          </cell>
          <cell r="H9" t="str">
            <v>Female</v>
          </cell>
          <cell r="K9" t="str">
            <v>N/K</v>
          </cell>
        </row>
        <row r="10">
          <cell r="K10" t="str">
            <v>N/A</v>
          </cell>
        </row>
        <row r="11">
          <cell r="K11" t="str">
            <v>Regular</v>
          </cell>
        </row>
        <row r="12">
          <cell r="K12" t="str">
            <v>Reserve</v>
          </cell>
        </row>
        <row r="20">
          <cell r="E20" t="str">
            <v>Process</v>
          </cell>
        </row>
        <row r="21">
          <cell r="E21" t="str">
            <v>Delay</v>
          </cell>
        </row>
        <row r="22">
          <cell r="E22" t="str">
            <v>Both</v>
          </cell>
        </row>
      </sheetData>
      <sheetData sheetId="4"/>
      <sheetData sheetId="5"/>
      <sheetData sheetId="6" refreshError="1"/>
      <sheetData sheetId="7">
        <row r="5">
          <cell r="A5" t="str">
            <v>001/12</v>
          </cell>
        </row>
      </sheetData>
      <sheetData sheetId="8"/>
      <sheetData sheetId="9">
        <row r="4">
          <cell r="E4" t="str">
            <v>N/K</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witches-Validated Selections"/>
      <sheetName val="Bank Holidays"/>
      <sheetName val="Sheet37"/>
      <sheetName val="Data"/>
      <sheetName val="Calc"/>
      <sheetName val="1.16"/>
      <sheetName val="1.17"/>
      <sheetName val="Mthly - COO - Ops Profile"/>
      <sheetName val="Mthly - COO - Invstgtr Perform"/>
      <sheetName val="Mthly - MOD - Tables"/>
      <sheetName val="Mthly - MOD - Charts"/>
      <sheetName val="Mthly - MOD - Staffing"/>
      <sheetName val="OUTPUT - QSR Bullet Points"/>
      <sheetName val="OUTPUT - QSR Chart 1"/>
      <sheetName val="OUTPUT - QSR Chart 2"/>
      <sheetName val="OUTPUT - QSR Chart 3"/>
      <sheetName val="OUTPUT - QSR Chart 4"/>
      <sheetName val="Cover"/>
      <sheetName val="Content"/>
      <sheetName val="1.1"/>
      <sheetName val="1.2"/>
      <sheetName val="1.3"/>
      <sheetName val="1.4"/>
      <sheetName val="1.5"/>
      <sheetName val="1.6"/>
      <sheetName val="1.7"/>
      <sheetName val="1.8"/>
      <sheetName val="1.9"/>
      <sheetName val="1.10"/>
      <sheetName val="1.11"/>
      <sheetName val="1.12"/>
      <sheetName val="1.13"/>
      <sheetName val="1.14"/>
      <sheetName val="1.15"/>
      <sheetName val="1.18"/>
      <sheetName val="1.19"/>
      <sheetName val="1.20"/>
      <sheetName val="1.21"/>
      <sheetName val="1.22"/>
      <sheetName val="1.23"/>
      <sheetName val="1.24"/>
      <sheetName val="1.25"/>
      <sheetName val="1.26"/>
      <sheetName val="1.27"/>
      <sheetName val="1.28"/>
      <sheetName val="Monthly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illis, Ian C1" refreshedDate="44572.662631018517" createdVersion="6" refreshedVersion="6" minRefreshableVersion="3" recordCount="188" xr:uid="{0E8E248E-78F5-416E-9940-DE2D34500A7C}">
  <cacheSource type="worksheet">
    <worksheetSource name="RawDataTabl"/>
  </cacheSource>
  <cacheFields count="51">
    <cacheField name="UserID" numFmtId="0">
      <sharedItems containsSemiMixedTypes="0" containsString="0" containsNumber="1" containsInteger="1" minValue="169177440" maxValue="181002484"/>
    </cacheField>
    <cacheField name="UserNo" numFmtId="0">
      <sharedItems containsSemiMixedTypes="0" containsString="0" containsNumber="1" containsInteger="1" minValue="1" maxValue="188"/>
    </cacheField>
    <cacheField name="IP Address" numFmtId="0">
      <sharedItems/>
    </cacheField>
    <cacheField name="Unique ID" numFmtId="0">
      <sharedItems containsNonDate="0" containsString="0" containsBlank="1"/>
    </cacheField>
    <cacheField name="Started date" numFmtId="0">
      <sharedItems containsSemiMixedTypes="0" containsString="0" containsNumber="1" containsInteger="1" minValue="44368" maxValue="44543"/>
    </cacheField>
    <cacheField name="Started time" numFmtId="0">
      <sharedItems containsSemiMixedTypes="0" containsString="0" containsNumber="1" minValue="6.1455520833333332E-2" maxValue="0.9916842939814815"/>
    </cacheField>
    <cacheField name="Ended date" numFmtId="0">
      <sharedItems containsSemiMixedTypes="0" containsString="0" containsNumber="1" containsInteger="1" minValue="44368" maxValue="44543"/>
    </cacheField>
    <cacheField name="Ended time" numFmtId="0">
      <sharedItems containsSemiMixedTypes="0" containsString="0" containsNumber="1" minValue="6.3678125000000002E-2" maxValue="0.99751489583333341"/>
    </cacheField>
    <cacheField name="Status" numFmtId="0">
      <sharedItems/>
    </cacheField>
    <cacheField name="Contact List" numFmtId="0">
      <sharedItems containsNonDate="0" containsString="0" containsBlank="1"/>
    </cacheField>
    <cacheField name="Q1. Were you involved with a Service Complaint in the last 12 months, either as a complainant, a respondent, an assisting officer or as a specified officer/commanding officer?" numFmtId="0">
      <sharedItems count="2">
        <s v="No"/>
        <s v="Yes"/>
      </sharedItems>
    </cacheField>
    <cacheField name="Q2. Did you know about SCOAF before this visit was announced? If so, what was you main information source on SCOAF?" numFmtId="0">
      <sharedItems/>
    </cacheField>
    <cacheField name="Q3. Do you feel information on Service Complaints is easy to find?" numFmtId="0">
      <sharedItems/>
    </cacheField>
    <cacheField name="Q4. Did you know that JSP831 is a main source of information on Service Complaints?" numFmtId="0">
      <sharedItems/>
    </cacheField>
    <cacheField name="Q5. Did you know in what ways the Ombudsman could help you in the last 12 months?" numFmtId="0">
      <sharedItems/>
    </cacheField>
    <cacheField name="Q6. Do you feel training provides you with adequate awareness of the existence of Service Complaints and the Ombudsman?" numFmtId="0">
      <sharedItems/>
    </cacheField>
    <cacheField name="Q7. What is the main category of Service Complaint you are involved in?(choose the most memorable Service Complaint if there was more than one)" numFmtId="0">
      <sharedItems count="6">
        <s v="Complaints about career management (e.g. promotions)"/>
        <s v="Not sure"/>
        <s v="Complaints about bullying, harassment or discrimination"/>
        <s v="-"/>
        <s v="Other categories of complaints (e.g. manning and discharge; medical and dental; accommodation; discipline; medals)"/>
        <s v="Complaints about pay, pensions and allowances"/>
      </sharedItems>
    </cacheField>
    <cacheField name="Q8.1. Informal chats" numFmtId="0">
      <sharedItems/>
    </cacheField>
    <cacheField name="Q8.2. Mediation" numFmtId="0">
      <sharedItems/>
    </cacheField>
    <cacheField name="Q8.3. Special-to-type processes (used to resolve pay, accommodation and medical complaints)" numFmtId="0">
      <sharedItems/>
    </cacheField>
    <cacheField name="Q8.4. I don't know which processes might have been used to resolve the complaint" numFmtId="0">
      <sharedItems/>
    </cacheField>
    <cacheField name="Q9. What was your main information source for Service Complaints?" numFmtId="0">
      <sharedItems/>
    </cacheField>
    <cacheField name="Q10. How helpful did you find your training with your involvement with Service Complaints?" numFmtId="0">
      <sharedItems count="5">
        <s v="Helpful"/>
        <s v="I don't know/ I prefer not to say"/>
        <s v="Not helpful"/>
        <s v="Neutral"/>
        <s v="-"/>
      </sharedItems>
    </cacheField>
    <cacheField name="Q11. In your experience, was the Service Complaints process simple and straightforward?" numFmtId="0">
      <sharedItems/>
    </cacheField>
    <cacheField name="Q12. In your experience, is the Service Complaints process open and transparent?" numFmtId="0">
      <sharedItems/>
    </cacheField>
    <cacheField name="Q13. In your experience, was the Service Complaints process responsive to your particular circumstances (e.g. keeping information confidential, not having access to a computer)" numFmtId="0">
      <sharedItems/>
    </cacheField>
    <cacheField name="Q14. Would you recommend others to use the Service Complaints system?" numFmtId="0">
      <sharedItems count="5">
        <s v="Yes"/>
        <s v="No"/>
        <s v="I don't know"/>
        <s v="Prefer not to say"/>
        <s v="-"/>
      </sharedItems>
    </cacheField>
    <cacheField name="Q15. What kind of Service Complaints user are you?" numFmtId="0">
      <sharedItems count="5">
        <s v="Assisting Officer"/>
        <s v="Specified Officer/Commanding Officer in charge of the Service Complaint"/>
        <s v="Respondents (i.e. you responded to any allegations made in a Service Complaint - usually only in bullying, harassment or discrimination complaints)"/>
        <s v="Complainant (i.e. you made a Service Complaint in writing)"/>
        <s v="-"/>
      </sharedItems>
    </cacheField>
    <cacheField name="Q16.1. (Complainants only) Was there any information issues that might have caused problems in making a complaint with the necessary timeframe?" numFmtId="0">
      <sharedItems/>
    </cacheField>
    <cacheField name="Q16.2. (Complainants only) Were the reasons for the admissibility decision clearly explained to you?" numFmtId="0">
      <sharedItems/>
    </cacheField>
    <cacheField name="Q16.3. Was there an initial interview to understand the heads of complaint?" numFmtId="0">
      <sharedItems/>
    </cacheField>
    <cacheField name="Q16.4. Were you offered an assisting officer?" numFmtId="0">
      <sharedItems/>
    </cacheField>
    <cacheField name="Q16.5. If so, was the assisting officer helpful?" numFmtId="0">
      <sharedItems/>
    </cacheField>
    <cacheField name="Q16.6. Were there regular and informative updates on the progress of this complaint?" numFmtId="0">
      <sharedItems/>
    </cacheField>
    <cacheField name="Q16.7. In your opinion, was an appropriate amount of evidence collected to enable a fair decision to be made?" numFmtId="0">
      <sharedItems/>
    </cacheField>
    <cacheField name="Q16.8. (Complainants only) Were the decisions on whether to uphold the complaint or not clearly explained?" numFmtId="0">
      <sharedItems count="4">
        <s v="-"/>
        <s v="No"/>
        <s v="Yes"/>
        <s v="I don't know / Prefer not to say"/>
      </sharedItems>
    </cacheField>
    <cacheField name="Q17. Were there any issues with how key elements of this process was handled? If so, what were they?" numFmtId="0">
      <sharedItems longText="1"/>
    </cacheField>
    <cacheField name="Q18. Was my health and well-being affected by the Service complaints process" numFmtId="0">
      <sharedItems/>
    </cacheField>
    <cacheField name="Q19. If your health or well-being was affected, please can you tell us more" numFmtId="0">
      <sharedItems longText="1"/>
    </cacheField>
    <cacheField name="Q20. How did your colleagues react to you being the complainant/respondent to a Service complaint?" numFmtId="0">
      <sharedItems count="6">
        <s v="-"/>
        <s v="They supported me"/>
        <s v="They were disappointed with me"/>
        <s v="There was no reaction"/>
        <s v="I don't know / Prefer not to say"/>
        <s v="They didn't know"/>
      </sharedItems>
    </cacheField>
    <cacheField name="Q21. (Complainant only) Was there any information issues that might have caused problems with making a complaint in the necessary time frame" numFmtId="0">
      <sharedItems/>
    </cacheField>
    <cacheField name="Q22. What was the outcome of the Service Complaint you were involved with?" numFmtId="0">
      <sharedItems count="8">
        <s v="-"/>
        <s v="Complaint was fully investigated and the complaint was not upheld"/>
        <s v="Prefer not to say"/>
        <s v="Complaint was not investigated at all"/>
        <s v="Not sure what happened to the complaint"/>
        <s v="Complaint was fully investigated and the complaint was fully or partially upheld"/>
        <s v="Complaint investigation is still ongoing"/>
        <s v="Complaint was partly investigated but the investigation stopped early as the complaint was resolved/withdrawn"/>
      </sharedItems>
    </cacheField>
    <cacheField name="Q23. Was the underlying problem solved(e.g. did you get the pay/allowance you were looking for; receive the desired promotion or transfer; have the accommodation problem solved; did the bullying, harassment or discrimination stop?)" numFmtId="0">
      <sharedItems/>
    </cacheField>
    <cacheField name="Q24. As the complainant/ respondent, how satisfied were you with the outcome of this complaint" numFmtId="0">
      <sharedItems/>
    </cacheField>
    <cacheField name="Q25. 25. Have you any further feedback you would like to provide about the Service Complaints process?" numFmtId="0">
      <sharedItems longText="1"/>
    </cacheField>
    <cacheField name="Q26. Which Service did you serve when you made the Service Complaint/were asked to respond to the Service Complaint" numFmtId="0">
      <sharedItems/>
    </cacheField>
    <cacheField name="Q27. In what capacity did you serve when you made the Service Complaint/were asked to respond to the Service Complaint" numFmtId="0">
      <sharedItems/>
    </cacheField>
    <cacheField name="Q28. What was your rank when you made the Service Complaint/were asked to respond to the Service Complaint" numFmtId="0">
      <sharedItems/>
    </cacheField>
    <cacheField name="Q29. What was your age when you made the Service Complaint/were asked to respond to the Service Complaint" numFmtId="0">
      <sharedItems/>
    </cacheField>
    <cacheField name="Q30. What is your gender" numFmtId="0">
      <sharedItems/>
    </cacheField>
    <cacheField name="Q31. What is you ethnic backgroun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8">
  <r>
    <n v="169177440"/>
    <n v="1"/>
    <s v="84.66.24.110"/>
    <m/>
    <n v="44368"/>
    <n v="0.5977475347222222"/>
    <n v="44368"/>
    <n v="0.60783464120370367"/>
    <s v="Completed"/>
    <m/>
    <x v="0"/>
    <s v="Chain of Command"/>
    <s v="Yes"/>
    <s v="Yes"/>
    <s v="Yes"/>
    <s v="Yes"/>
    <x v="0"/>
    <s v="Yes"/>
    <s v="Yes"/>
    <s v="No"/>
    <s v="Yes"/>
    <s v="Online search"/>
    <x v="0"/>
    <s v="Yes"/>
    <s v="Yes"/>
    <s v="Yes"/>
    <x v="0"/>
    <x v="0"/>
    <s v="-"/>
    <s v="-"/>
    <s v="-"/>
    <s v="-"/>
    <s v="-"/>
    <s v="-"/>
    <s v="-"/>
    <x v="0"/>
    <s v="-"/>
    <s v="-"/>
    <s v="-"/>
    <x v="0"/>
    <s v="-"/>
    <x v="0"/>
    <s v="-"/>
    <s v="-"/>
    <s v="-"/>
    <s v="British Army"/>
    <s v="Regular (inc. veteran and retired regulars)"/>
    <s v="Officer"/>
    <s v="40-49"/>
    <s v="Female"/>
    <s v="White"/>
  </r>
  <r>
    <n v="169179062"/>
    <n v="2"/>
    <s v="85.255.234.85"/>
    <m/>
    <n v="44368"/>
    <n v="0.60798912037037034"/>
    <n v="44368"/>
    <n v="0.61304259259259253"/>
    <s v="Completed"/>
    <m/>
    <x v="1"/>
    <s v="-"/>
    <s v="-"/>
    <s v="-"/>
    <s v="-"/>
    <s v="-"/>
    <x v="0"/>
    <s v="Yes"/>
    <s v="Yes"/>
    <s v="No"/>
    <s v="No"/>
    <s v="Online search"/>
    <x v="0"/>
    <s v="Yes"/>
    <s v="Yes"/>
    <s v="Yes"/>
    <x v="0"/>
    <x v="1"/>
    <s v="-"/>
    <s v="-"/>
    <s v="-"/>
    <s v="-"/>
    <s v="-"/>
    <s v="-"/>
    <s v="-"/>
    <x v="0"/>
    <s v="-"/>
    <s v="-"/>
    <s v="-"/>
    <x v="0"/>
    <s v="-"/>
    <x v="0"/>
    <s v="-"/>
    <s v="-"/>
    <s v="-"/>
    <s v="British Army"/>
    <s v="Regular (inc. veteran and retired regulars)"/>
    <s v="Officer"/>
    <s v="30-39"/>
    <s v="Male"/>
    <s v="White"/>
  </r>
  <r>
    <n v="169183169"/>
    <n v="3"/>
    <s v="185.13.50.178"/>
    <m/>
    <n v="44368"/>
    <n v="0.63323491898148154"/>
    <n v="44368"/>
    <n v="0.63550844907407411"/>
    <s v="Completed"/>
    <m/>
    <x v="0"/>
    <s v="Other"/>
    <s v="Yes"/>
    <s v="Yes"/>
    <s v="Yes"/>
    <s v="No"/>
    <x v="1"/>
    <s v="No"/>
    <s v="No"/>
    <s v="No"/>
    <s v="Yes"/>
    <s v="Other"/>
    <x v="1"/>
    <s v="Yes"/>
    <s v="No"/>
    <s v="I don't think this applies to me/ I prefer not to say"/>
    <x v="0"/>
    <x v="2"/>
    <s v="-"/>
    <s v="-"/>
    <s v="-"/>
    <s v="-"/>
    <s v="-"/>
    <s v="-"/>
    <s v="-"/>
    <x v="0"/>
    <s v="-"/>
    <s v="-"/>
    <s v="-"/>
    <x v="0"/>
    <s v="-"/>
    <x v="0"/>
    <s v="-"/>
    <s v="-"/>
    <s v="-"/>
    <s v="-"/>
    <s v="-"/>
    <s v="-"/>
    <s v="-"/>
    <s v="-"/>
    <s v="-"/>
  </r>
  <r>
    <n v="169205353"/>
    <n v="4"/>
    <s v="90.255.121.37"/>
    <m/>
    <n v="44368"/>
    <n v="0.82889684027777777"/>
    <n v="44368"/>
    <n v="0.83319907407407401"/>
    <s v="Completed"/>
    <m/>
    <x v="1"/>
    <s v="-"/>
    <s v="-"/>
    <s v="-"/>
    <s v="-"/>
    <s v="-"/>
    <x v="2"/>
    <s v="Yes"/>
    <s v="Yes"/>
    <s v="No"/>
    <s v="No"/>
    <s v="Online search"/>
    <x v="2"/>
    <s v="No"/>
    <s v="No"/>
    <s v="No"/>
    <x v="1"/>
    <x v="3"/>
    <s v="No"/>
    <s v="Yes"/>
    <s v="Yes"/>
    <s v="Yes"/>
    <s v="Yes"/>
    <s v="Yes"/>
    <s v="No"/>
    <x v="1"/>
    <s v="Closed ranks approach … senior officer investigating out of touch and too close _x000a__x000a_Unconscious bias? "/>
    <s v="Yes"/>
    <s v="Hospitalised due to stress "/>
    <x v="1"/>
    <s v="No"/>
    <x v="1"/>
    <s v="No"/>
    <s v="Dissatisfied"/>
    <s v="-"/>
    <s v="-"/>
    <s v="-"/>
    <s v="-"/>
    <s v="-"/>
    <s v="-"/>
    <s v="-"/>
  </r>
  <r>
    <n v="169339491"/>
    <n v="5"/>
    <s v="185.13.50.182"/>
    <m/>
    <n v="44370"/>
    <n v="0.56750535879629627"/>
    <n v="44370"/>
    <n v="0.56909880787037037"/>
    <s v="Completed"/>
    <m/>
    <x v="0"/>
    <s v="Other"/>
    <s v="Yes"/>
    <s v="-"/>
    <s v="Yes"/>
    <s v="Yes"/>
    <x v="3"/>
    <s v="No"/>
    <s v="No"/>
    <s v="No"/>
    <s v="No"/>
    <s v="-"/>
    <x v="0"/>
    <s v="Yes"/>
    <s v="-"/>
    <s v="Yes"/>
    <x v="0"/>
    <x v="1"/>
    <s v="-"/>
    <s v="-"/>
    <s v="-"/>
    <s v="-"/>
    <s v="-"/>
    <s v="-"/>
    <s v="-"/>
    <x v="0"/>
    <s v="-"/>
    <s v="-"/>
    <s v="-"/>
    <x v="0"/>
    <s v="-"/>
    <x v="0"/>
    <s v="-"/>
    <s v="-"/>
    <s v="-"/>
    <s v="British Army"/>
    <s v="Regular (inc. veteran and retired regulars)"/>
    <s v="Officer"/>
    <s v="50+"/>
    <s v="Male"/>
    <s v="White"/>
  </r>
  <r>
    <n v="169490806"/>
    <n v="6"/>
    <s v="84.66.24.110"/>
    <m/>
    <n v="44372"/>
    <n v="0.49657364583333335"/>
    <n v="44372"/>
    <n v="0.4974282060185185"/>
    <s v="Completed"/>
    <m/>
    <x v="0"/>
    <s v="Chain of Command"/>
    <s v="Yes"/>
    <s v="Yes"/>
    <s v="Yes"/>
    <s v="Yes"/>
    <x v="0"/>
    <s v="Yes"/>
    <s v="Yes"/>
    <s v="No"/>
    <s v="No"/>
    <s v="Chain of command"/>
    <x v="0"/>
    <s v="Yes"/>
    <s v="Yes"/>
    <s v="Yes"/>
    <x v="0"/>
    <x v="0"/>
    <s v="-"/>
    <s v="-"/>
    <s v="-"/>
    <s v="-"/>
    <s v="-"/>
    <s v="-"/>
    <s v="-"/>
    <x v="0"/>
    <s v="-"/>
    <s v="-"/>
    <s v="-"/>
    <x v="0"/>
    <s v="-"/>
    <x v="0"/>
    <s v="-"/>
    <s v="-"/>
    <s v="-"/>
    <s v="British Army"/>
    <s v="Regular (inc. veteran and retired regulars)"/>
    <s v="Officer"/>
    <s v="40-49"/>
    <s v="Prefer not to answer"/>
    <s v="White"/>
  </r>
  <r>
    <n v="169525075"/>
    <n v="7"/>
    <s v="86.25.192.246"/>
    <m/>
    <n v="44372"/>
    <n v="0.82545871527777781"/>
    <n v="44372"/>
    <n v="0.82820559027777785"/>
    <s v="Completed"/>
    <m/>
    <x v="0"/>
    <s v="Other"/>
    <s v="Yes"/>
    <s v="Yes"/>
    <s v="Yes"/>
    <s v="Yes"/>
    <x v="2"/>
    <s v="No"/>
    <s v="Yes"/>
    <s v="No"/>
    <s v="No"/>
    <s v="Online search"/>
    <x v="3"/>
    <s v="No"/>
    <s v="No"/>
    <s v="No"/>
    <x v="1"/>
    <x v="3"/>
    <s v="Yes"/>
    <s v="No"/>
    <s v="Yes"/>
    <s v="Yes"/>
    <s v="Yes"/>
    <s v="Yes"/>
    <s v="-"/>
    <x v="0"/>
    <s v="-"/>
    <s v="-"/>
    <s v="-"/>
    <x v="0"/>
    <s v="-"/>
    <x v="0"/>
    <s v="-"/>
    <s v="-"/>
    <s v="-"/>
    <s v="-"/>
    <s v="-"/>
    <s v="-"/>
    <s v="-"/>
    <s v="-"/>
    <s v="-"/>
  </r>
  <r>
    <n v="169687701"/>
    <n v="8"/>
    <s v="147.147.136.79"/>
    <m/>
    <n v="44376"/>
    <n v="0.42562531250000002"/>
    <n v="44376"/>
    <n v="0.43395721064814818"/>
    <s v="Completed"/>
    <m/>
    <x v="1"/>
    <s v="-"/>
    <s v="-"/>
    <s v="-"/>
    <s v="-"/>
    <s v="-"/>
    <x v="1"/>
    <s v="No"/>
    <s v="No"/>
    <s v="No"/>
    <s v="Yes"/>
    <s v="SCOAF poster or leaflet"/>
    <x v="3"/>
    <s v="No"/>
    <s v="No"/>
    <s v="No"/>
    <x v="0"/>
    <x v="3"/>
    <s v="Yes"/>
    <s v="Yes"/>
    <s v="Yes"/>
    <s v="Yes"/>
    <s v="No"/>
    <s v="No"/>
    <s v="No"/>
    <x v="1"/>
    <s v="Investigation was conducted inadequately to produce a fair outcome. It produced evidence that favoured the respondents, took the respondents words at face value, encouraged me to select convenient witnesses for the service on pain of delays, put blame onto me the victim, scrutinised me unfairly and cherry picked from my medical records to absolve the service. I was also not listened to and had critical evidence ignored on the pretext that it was outside the scope of an SC. The whole process was adversarial with the service determined to absolve itself of blame rather than try to learn. There is no guide for the respondent on what an investigation needs to be fair, how it should be conducted, how to select and contact witnesses, how to write the complaint and there is similarly nothing for supporting officers who were mostly useless in my experience. I was on my own against a system that was determined to cast me as a troublemaker and malingerer. I’m afraid the ombudsman hasn’t been much better. "/>
    <s v="Yes"/>
    <s v="I am currently off work with mental ill health caused by the service, detailed in my complaint. The SC process has prolonged it and in many ways worsened it. "/>
    <x v="1"/>
    <s v="Yes"/>
    <x v="1"/>
    <s v="No"/>
    <s v="Dissatisfied"/>
    <s v="-"/>
    <s v="-"/>
    <s v="-"/>
    <s v="-"/>
    <s v="-"/>
    <s v="-"/>
    <s v="-"/>
  </r>
  <r>
    <n v="169711120"/>
    <n v="9"/>
    <s v="185.13.50.218"/>
    <m/>
    <n v="44376"/>
    <n v="0.58840142361111114"/>
    <n v="44376"/>
    <n v="0.59053677083333334"/>
    <s v="Completed"/>
    <m/>
    <x v="1"/>
    <s v="-"/>
    <s v="-"/>
    <s v="-"/>
    <s v="-"/>
    <s v="-"/>
    <x v="4"/>
    <s v="No"/>
    <s v="No"/>
    <s v="Yes"/>
    <s v="No"/>
    <s v="Knowledge from a previous complaint"/>
    <x v="3"/>
    <s v="No"/>
    <s v="No"/>
    <s v="No"/>
    <x v="1"/>
    <x v="3"/>
    <s v="Yes"/>
    <s v="Yes"/>
    <s v="Yes"/>
    <s v="Yes"/>
    <s v="I don't know / Prefer not to say"/>
    <s v="Yes"/>
    <s v="No"/>
    <x v="2"/>
    <s v="Key elements were omitted, I suspect to protect officers involved."/>
    <s v="Yes"/>
    <s v="I planned to take my own life due to the stress involved."/>
    <x v="2"/>
    <s v="Yes"/>
    <x v="2"/>
    <s v="No"/>
    <s v="Dissatisfied"/>
    <s v="-"/>
    <s v="-"/>
    <s v="-"/>
    <s v="-"/>
    <s v="-"/>
    <s v="-"/>
    <s v="-"/>
  </r>
  <r>
    <n v="169712390"/>
    <n v="10"/>
    <s v="185.13.50.180"/>
    <m/>
    <n v="44376"/>
    <n v="0.59657766203703699"/>
    <n v="44376"/>
    <n v="0.59872974537037038"/>
    <s v="Completed"/>
    <m/>
    <x v="1"/>
    <s v="-"/>
    <s v="-"/>
    <s v="-"/>
    <s v="-"/>
    <s v="-"/>
    <x v="2"/>
    <s v="No"/>
    <s v="No"/>
    <s v="No"/>
    <s v="Yes"/>
    <s v="Service Welfare/ support"/>
    <x v="2"/>
    <s v="No"/>
    <s v="No"/>
    <s v="No"/>
    <x v="1"/>
    <x v="3"/>
    <s v="Yes"/>
    <s v="No"/>
    <s v="No"/>
    <s v="No"/>
    <s v="No"/>
    <s v="No"/>
    <s v="No"/>
    <x v="1"/>
    <s v="The whole process was a whitewash"/>
    <s v="No"/>
    <s v="I had a crisis caused by this ongoing complaint and so I am leaving."/>
    <x v="2"/>
    <s v="Yes"/>
    <x v="3"/>
    <s v="No"/>
    <s v="Dissatisfied"/>
    <s v="-"/>
    <s v="-"/>
    <s v="-"/>
    <s v="-"/>
    <s v="-"/>
    <s v="-"/>
    <s v="-"/>
  </r>
  <r>
    <n v="169712849"/>
    <n v="11"/>
    <s v="185.13.50.180"/>
    <m/>
    <n v="44376"/>
    <n v="0.59929140046296292"/>
    <n v="44376"/>
    <n v="0.60168734953703706"/>
    <s v="Completed"/>
    <m/>
    <x v="1"/>
    <s v="-"/>
    <s v="-"/>
    <s v="-"/>
    <s v="-"/>
    <s v="-"/>
    <x v="0"/>
    <s v="No"/>
    <s v="No"/>
    <s v="No"/>
    <s v="Yes"/>
    <s v="Knowledge from a previous complaint"/>
    <x v="2"/>
    <s v="No"/>
    <s v="No"/>
    <s v="No"/>
    <x v="1"/>
    <x v="2"/>
    <s v="-"/>
    <s v="-"/>
    <s v="Yes"/>
    <s v="Yes"/>
    <s v="No"/>
    <s v="No"/>
    <s v="No"/>
    <x v="0"/>
    <s v="The deciding officer failed to consider the impact of this unfounded and malicious complaint on me as a respondent "/>
    <s v="No"/>
    <s v="My career was significantly impacted because my Commanding Officer made a complaint against me, which was both odd and disturbing."/>
    <x v="2"/>
    <s v="I don't know / Prefer not to say/ I am not the complainant"/>
    <x v="4"/>
    <s v="No"/>
    <s v="Dissatisfied"/>
    <s v="-"/>
    <s v="-"/>
    <s v="-"/>
    <s v="-"/>
    <s v="-"/>
    <s v="-"/>
    <s v="-"/>
  </r>
  <r>
    <n v="169806779"/>
    <n v="12"/>
    <s v="84.9.102.129"/>
    <m/>
    <n v="44377"/>
    <n v="0.4647761226851852"/>
    <n v="44377"/>
    <n v="0.46720061342592589"/>
    <s v="Completed"/>
    <m/>
    <x v="1"/>
    <s v="-"/>
    <s v="-"/>
    <s v="-"/>
    <s v="-"/>
    <s v="-"/>
    <x v="2"/>
    <s v="Yes"/>
    <s v="Yes"/>
    <s v="No"/>
    <s v="No"/>
    <s v="Online search"/>
    <x v="2"/>
    <s v="No"/>
    <s v="No"/>
    <s v="No"/>
    <x v="0"/>
    <x v="3"/>
    <s v="Yes"/>
    <s v="Yes"/>
    <s v="No"/>
    <s v="No"/>
    <s v="No"/>
    <s v="No"/>
    <s v="No"/>
    <x v="2"/>
    <s v="The IO was a known friend of the person I was complaining about. This should not have happened. "/>
    <s v="Yes"/>
    <s v="I have been off work with mental health issues directly related to my service complaint and the SC system since September 2020"/>
    <x v="3"/>
    <s v="Yes"/>
    <x v="3"/>
    <s v="No"/>
    <s v="Dissatisfied"/>
    <s v="-"/>
    <s v="-"/>
    <s v="-"/>
    <s v="-"/>
    <s v="-"/>
    <s v="-"/>
    <s v="-"/>
  </r>
  <r>
    <n v="170336004"/>
    <n v="13"/>
    <s v="35.179.97.74"/>
    <m/>
    <n v="44383"/>
    <n v="0.58982711805555554"/>
    <n v="44383"/>
    <n v="0.59851859953703701"/>
    <s v="Completed"/>
    <m/>
    <x v="1"/>
    <s v="-"/>
    <s v="-"/>
    <s v="-"/>
    <s v="-"/>
    <s v="-"/>
    <x v="0"/>
    <s v="No"/>
    <s v="No"/>
    <s v="No"/>
    <s v="Yes"/>
    <s v="Online search"/>
    <x v="2"/>
    <s v="No"/>
    <s v="No"/>
    <s v="No"/>
    <x v="0"/>
    <x v="3"/>
    <s v="Yes"/>
    <s v="I don't know / Prefer not to say"/>
    <s v="Yes"/>
    <s v="Yes"/>
    <s v="Yes"/>
    <s v="Yes"/>
    <s v="No"/>
    <x v="1"/>
    <s v="Whole process was kept in the regiment. All appointments came from within the regiment, all seniors knew one and other. No Impartial staffing was used. All witness were hand picked and Evidence chosen to made admissible by the investigating officer."/>
    <s v="Yes"/>
    <s v="Stress, tension at home, loss of sleep the list could go on. I bursted into tears in my interview as a grown man of 30, this will go down as one of the lowest moments in my life. "/>
    <x v="2"/>
    <s v="Yes"/>
    <x v="1"/>
    <s v="No"/>
    <s v="Dissatisfied"/>
    <s v="-"/>
    <s v="-"/>
    <s v="-"/>
    <s v="-"/>
    <s v="-"/>
    <s v="-"/>
    <s v="-"/>
  </r>
  <r>
    <n v="170420562"/>
    <n v="14"/>
    <s v="62.253.196.42"/>
    <m/>
    <n v="44384"/>
    <n v="0.55919594907407411"/>
    <n v="44384"/>
    <n v="0.57305258101851853"/>
    <s v="Completed"/>
    <m/>
    <x v="1"/>
    <s v="-"/>
    <s v="-"/>
    <s v="-"/>
    <s v="-"/>
    <s v="-"/>
    <x v="0"/>
    <s v="No"/>
    <s v="Yes"/>
    <s v="No"/>
    <s v="No"/>
    <s v="Colleague or friend"/>
    <x v="2"/>
    <s v="No"/>
    <s v="No"/>
    <s v="No"/>
    <x v="1"/>
    <x v="3"/>
    <s v="Yes"/>
    <s v="No"/>
    <s v="Yes"/>
    <s v="Yes"/>
    <s v="No"/>
    <s v="Yes"/>
    <s v="No"/>
    <x v="1"/>
    <s v="My service complaint was against my OC (major) Regular, I'm a (Reservist SSgt). _x000a_I was systematically cut out of training and decision making. There I no way to check whether statements made are factually correct (made up lies). No accountability on what is said in a statement."/>
    <s v="Yes"/>
    <s v="I was removed from my reserve WO2 job as a local rank on a wim from my OC to make room for his mate regular solider who was leaving full time service._x000a_The whole of the command structure explained to me its his train set he can employ and sack who he wants. It effected me career as I questioned him he then tried to massively write me down on my SJAR and mpar process to stop me making a complaint. Threatening behavior._x000a_At this time I am managing an electrical company during lock down. 24 years in the Army 16 of which in the Reserves 1 bad OC destroys 7 years of promotional planning and course._x000a_Plus who could I talk to I'm a Reservist "/>
    <x v="1"/>
    <s v="Yes"/>
    <x v="5"/>
    <s v="No"/>
    <s v="Dissatisfied"/>
    <s v="-"/>
    <s v="British Army"/>
    <s v="Reservist (inc. veteran and retired reservist)"/>
    <s v="Non Commissioned Officers/Warrant Officers and equivalent rank"/>
    <s v="40-49"/>
    <s v="Male"/>
    <s v="White"/>
  </r>
  <r>
    <n v="170474485"/>
    <n v="15"/>
    <s v="185.13.50.218"/>
    <m/>
    <n v="44385"/>
    <n v="0.45631655092592593"/>
    <n v="44385"/>
    <n v="0.45847688657407404"/>
    <s v="Completed"/>
    <m/>
    <x v="0"/>
    <s v="Chain of Command"/>
    <s v="No"/>
    <s v="No"/>
    <s v="Yes"/>
    <s v="No"/>
    <x v="2"/>
    <s v="Yes"/>
    <s v="Yes"/>
    <s v="No"/>
    <s v="No"/>
    <s v="Chain of command"/>
    <x v="2"/>
    <s v="No"/>
    <s v="Yes"/>
    <s v="Yes"/>
    <x v="0"/>
    <x v="0"/>
    <s v="-"/>
    <s v="-"/>
    <s v="-"/>
    <s v="-"/>
    <s v="-"/>
    <s v="-"/>
    <s v="-"/>
    <x v="0"/>
    <s v="-"/>
    <s v="-"/>
    <s v="-"/>
    <x v="0"/>
    <s v="-"/>
    <x v="0"/>
    <s v="-"/>
    <s v="-"/>
    <s v="-"/>
    <s v="British Army"/>
    <s v="Regular (inc. veteran and retired regulars)"/>
    <s v="Officer"/>
    <s v="30-39"/>
    <s v="Female"/>
    <s v="White"/>
  </r>
  <r>
    <n v="170474920"/>
    <n v="16"/>
    <s v="185.13.50.181"/>
    <m/>
    <n v="44385"/>
    <n v="0.4593543981481481"/>
    <n v="44385"/>
    <n v="0.46096223379629625"/>
    <s v="Completed"/>
    <m/>
    <x v="1"/>
    <s v="-"/>
    <s v="-"/>
    <s v="-"/>
    <s v="-"/>
    <s v="-"/>
    <x v="0"/>
    <s v="Yes"/>
    <s v="Yes"/>
    <s v="No"/>
    <s v="No"/>
    <s v="Knowledge from a previous complaint"/>
    <x v="2"/>
    <s v="No"/>
    <s v="Yes"/>
    <s v="Yes"/>
    <x v="2"/>
    <x v="0"/>
    <s v="-"/>
    <s v="-"/>
    <s v="-"/>
    <s v="-"/>
    <s v="-"/>
    <s v="-"/>
    <s v="-"/>
    <x v="0"/>
    <s v="-"/>
    <s v="-"/>
    <s v="-"/>
    <x v="0"/>
    <s v="-"/>
    <x v="0"/>
    <s v="-"/>
    <s v="-"/>
    <s v="-"/>
    <s v="British Army"/>
    <s v="Regular (inc. veteran and retired regulars)"/>
    <s v="Officer"/>
    <s v="40-49"/>
    <s v="Male"/>
    <s v="White"/>
  </r>
  <r>
    <n v="170478836"/>
    <n v="17"/>
    <s v="185.13.50.212"/>
    <m/>
    <n v="44385"/>
    <n v="0.48514390046296296"/>
    <n v="44385"/>
    <n v="0.48699062500000001"/>
    <s v="Completed"/>
    <m/>
    <x v="1"/>
    <s v="-"/>
    <s v="-"/>
    <s v="-"/>
    <s v="-"/>
    <s v="-"/>
    <x v="2"/>
    <s v="No"/>
    <s v="Yes"/>
    <s v="No"/>
    <s v="No"/>
    <s v="Training"/>
    <x v="0"/>
    <s v="No"/>
    <s v="Yes"/>
    <s v="Yes"/>
    <x v="0"/>
    <x v="1"/>
    <s v="-"/>
    <s v="-"/>
    <s v="-"/>
    <s v="-"/>
    <s v="-"/>
    <s v="-"/>
    <s v="-"/>
    <x v="0"/>
    <s v="-"/>
    <s v="-"/>
    <s v="-"/>
    <x v="0"/>
    <s v="-"/>
    <x v="0"/>
    <s v="-"/>
    <s v="-"/>
    <s v="-"/>
    <s v="British Army"/>
    <s v="Regular (inc. veteran and retired regulars)"/>
    <s v="Officer"/>
    <s v="50+"/>
    <s v="Male"/>
    <s v="White"/>
  </r>
  <r>
    <n v="170484504"/>
    <n v="18"/>
    <s v="185.13.50.178"/>
    <m/>
    <n v="44385"/>
    <n v="0.52598128472222216"/>
    <n v="44385"/>
    <n v="0.52760841435185191"/>
    <s v="Completed"/>
    <m/>
    <x v="0"/>
    <s v="Other"/>
    <s v="Yes"/>
    <s v="Yes"/>
    <s v="Yes"/>
    <s v="Yes"/>
    <x v="0"/>
    <s v="No"/>
    <s v="No"/>
    <s v="Yes"/>
    <s v="No"/>
    <s v="Chain of command"/>
    <x v="0"/>
    <s v="Yes"/>
    <s v="Yes"/>
    <s v="Yes"/>
    <x v="0"/>
    <x v="1"/>
    <s v="-"/>
    <s v="-"/>
    <s v="-"/>
    <s v="-"/>
    <s v="-"/>
    <s v="-"/>
    <s v="-"/>
    <x v="0"/>
    <s v="-"/>
    <s v="-"/>
    <s v="-"/>
    <x v="0"/>
    <s v="-"/>
    <x v="0"/>
    <s v="-"/>
    <s v="-"/>
    <s v="-"/>
    <s v="British Army"/>
    <s v="Regular (inc. veteran and retired regulars)"/>
    <s v="Officer"/>
    <s v="50+"/>
    <s v="Male"/>
    <s v="White"/>
  </r>
  <r>
    <n v="170487437"/>
    <n v="19"/>
    <s v="185.13.50.179"/>
    <m/>
    <n v="44385"/>
    <n v="0.5503799421296296"/>
    <n v="44385"/>
    <n v="0.55416195601851859"/>
    <s v="Completed"/>
    <m/>
    <x v="1"/>
    <s v="-"/>
    <s v="-"/>
    <s v="-"/>
    <s v="-"/>
    <s v="-"/>
    <x v="2"/>
    <s v="No"/>
    <s v="No"/>
    <s v="No"/>
    <s v="Yes"/>
    <s v="Other"/>
    <x v="3"/>
    <s v="No"/>
    <s v="No"/>
    <s v="I don't think this applies to me/ I prefer not to say"/>
    <x v="3"/>
    <x v="2"/>
    <s v="I don't know / Prefer not to say"/>
    <s v="I don't know / Prefer not to say"/>
    <s v="I don't know / Prefer not to say"/>
    <s v="Yes"/>
    <s v="I don't know / Prefer not to say"/>
    <s v="I don't know / Prefer not to say"/>
    <s v="I don't know / Prefer not to say"/>
    <x v="3"/>
    <s v="-"/>
    <s v="Yes"/>
    <s v="This process has not been expeditious, reporting has been sporadic and incoherent.  This has unnecessarily dragged with no consideration as the effect on health and well-being.  These failures have contributed to stress and adverse mental health."/>
    <x v="4"/>
    <s v="I don't know / Prefer not to say/ I am not the complainant"/>
    <x v="6"/>
    <s v="I don't know / Prefer not to say"/>
    <s v="Prefer not to say"/>
    <s v="-"/>
    <s v="-"/>
    <s v="-"/>
    <s v="-"/>
    <s v="-"/>
    <s v="-"/>
    <s v="-"/>
  </r>
  <r>
    <n v="170488275"/>
    <n v="20"/>
    <s v="185.13.50.208"/>
    <m/>
    <n v="44385"/>
    <n v="0.55661177083333335"/>
    <n v="44385"/>
    <n v="0.56249614583333341"/>
    <s v="Completed"/>
    <m/>
    <x v="0"/>
    <s v="Chain of Command"/>
    <s v="Yes"/>
    <s v="Yes"/>
    <s v="Yes"/>
    <s v="Yes"/>
    <x v="0"/>
    <s v="No"/>
    <s v="Yes"/>
    <s v="No"/>
    <s v="No"/>
    <s v="Training"/>
    <x v="0"/>
    <s v="Yes"/>
    <s v="Yes"/>
    <s v="Yes"/>
    <x v="0"/>
    <x v="2"/>
    <s v="Yes"/>
    <s v="Yes"/>
    <s v="Yes"/>
    <s v="Yes"/>
    <s v="Yes"/>
    <s v="Yes"/>
    <s v="Yes"/>
    <x v="2"/>
    <s v="-"/>
    <s v="Yes"/>
    <s v="The service complaint was constantly on my mind"/>
    <x v="1"/>
    <s v="No"/>
    <x v="7"/>
    <s v="Yes"/>
    <s v="Satisfied"/>
    <s v="-"/>
    <s v="-"/>
    <s v="-"/>
    <s v="-"/>
    <s v="-"/>
    <s v="-"/>
    <s v="-"/>
  </r>
  <r>
    <n v="170488736"/>
    <n v="21"/>
    <s v="185.13.50.219"/>
    <m/>
    <n v="44385"/>
    <n v="0.56102916666666669"/>
    <n v="44385"/>
    <n v="0.5629298611111111"/>
    <s v="Completed"/>
    <m/>
    <x v="0"/>
    <s v="Chain of Command"/>
    <s v="Yes"/>
    <s v="Yes"/>
    <s v="Yes"/>
    <s v="Yes"/>
    <x v="2"/>
    <s v="Yes"/>
    <s v="Yes"/>
    <s v="No"/>
    <s v="No"/>
    <s v="Chain of command"/>
    <x v="0"/>
    <s v="Yes"/>
    <s v="Yes"/>
    <s v="Yes"/>
    <x v="0"/>
    <x v="0"/>
    <s v="-"/>
    <s v="-"/>
    <s v="-"/>
    <s v="-"/>
    <s v="-"/>
    <s v="-"/>
    <s v="-"/>
    <x v="0"/>
    <s v="-"/>
    <s v="-"/>
    <s v="-"/>
    <x v="0"/>
    <s v="-"/>
    <x v="0"/>
    <s v="-"/>
    <s v="-"/>
    <s v="-"/>
    <s v="British Army"/>
    <s v="Regular (inc. veteran and retired regulars)"/>
    <s v="Officer"/>
    <s v="30-39"/>
    <s v="Male"/>
    <s v="White"/>
  </r>
  <r>
    <n v="170493883"/>
    <n v="22"/>
    <s v="185.13.50.216"/>
    <m/>
    <n v="44385"/>
    <n v="0.5883131597222222"/>
    <n v="44385"/>
    <n v="0.59097959490740737"/>
    <s v="Completed"/>
    <m/>
    <x v="0"/>
    <s v="I did not know about SCOAF before this visit was announced"/>
    <s v="I haven't sought any information on SCOAF"/>
    <s v="Yes"/>
    <s v="No"/>
    <s v="No"/>
    <x v="1"/>
    <s v="No"/>
    <s v="No"/>
    <s v="No"/>
    <s v="Yes"/>
    <s v="Other"/>
    <x v="1"/>
    <s v="-"/>
    <s v="-"/>
    <s v="-"/>
    <x v="4"/>
    <x v="2"/>
    <s v="-"/>
    <s v="-"/>
    <s v="-"/>
    <s v="-"/>
    <s v="-"/>
    <s v="-"/>
    <s v="-"/>
    <x v="0"/>
    <s v="-"/>
    <s v="-"/>
    <s v="-"/>
    <x v="0"/>
    <s v="-"/>
    <x v="0"/>
    <s v="-"/>
    <s v="-"/>
    <s v="-"/>
    <s v="-"/>
    <s v="-"/>
    <s v="-"/>
    <s v="-"/>
    <s v="-"/>
    <s v="-"/>
  </r>
  <r>
    <n v="170489352"/>
    <n v="23"/>
    <s v="185.13.50.212"/>
    <m/>
    <n v="44385"/>
    <n v="0.56572056712962959"/>
    <n v="44385"/>
    <n v="0.60525648148148148"/>
    <s v="Completed"/>
    <m/>
    <x v="1"/>
    <s v="-"/>
    <s v="-"/>
    <s v="-"/>
    <s v="-"/>
    <s v="-"/>
    <x v="2"/>
    <s v="No"/>
    <s v="No"/>
    <s v="No"/>
    <s v="Yes"/>
    <s v="Chain of command"/>
    <x v="2"/>
    <s v="No"/>
    <s v="No"/>
    <s v="No"/>
    <x v="1"/>
    <x v="2"/>
    <s v="-"/>
    <s v="-"/>
    <s v="Yes"/>
    <s v="Yes"/>
    <s v="I don't know / Prefer not to say"/>
    <s v="No"/>
    <s v="No"/>
    <x v="1"/>
    <s v="The time taken to start the appeal process after I was informed that the Complainant wished to Appeal. Informed in March and wasn't contacted until the last week in July 20 with the file of evidence. it then took to the following Feb for a decision to be made. Although initially I was given an monthly update on progress, this failed to happen over a number of months. I was not once asked to clarify anything, although my replacement in the appointment I was in,  who had nothing to do with the complaint and was not even posted to the unit at the time the initial complaint was made, or even at the time of the appeal was."/>
    <s v="Yes"/>
    <s v="I felt that because I was leaving the Service and in fact had left by 3 month before the decision of the appeal was disclosed to me, that the board were more concerned with keeping the complainant, who was still serving, happy. Numerous facts on what decisions were made were incorrect or assumed but not clarified. I was not given a chance to respond to the decision and felt that my 39 year plus service, without even an interview without coffee during this whole time, had been tarnished unfairly. I do not accept that the COVID crisis and the fact that personnel involved in collating and making the decisions were working from home should have been a factor in the length of time the appeal took. I also feel that the whole process is centred around the complainant grievance and well being with little consideration given to the Respondent's"/>
    <x v="5"/>
    <s v="-"/>
    <x v="5"/>
    <s v="I don't know / Prefer not to say"/>
    <s v="Dissatisfied"/>
    <s v="-"/>
    <s v="British Army"/>
    <s v="Regular (inc. veteran and retired regulars)"/>
    <s v="Non Commissioned Officers/Warrant Officers and equivalent rank"/>
    <s v="50+"/>
    <s v="Male"/>
    <s v="White"/>
  </r>
  <r>
    <n v="170485281"/>
    <n v="24"/>
    <s v="185.13.50.219"/>
    <m/>
    <n v="44385"/>
    <n v="0.53255451388888886"/>
    <n v="44385"/>
    <n v="0.70240312500000002"/>
    <s v="Completed"/>
    <m/>
    <x v="1"/>
    <s v="-"/>
    <s v="-"/>
    <s v="-"/>
    <s v="-"/>
    <s v="-"/>
    <x v="2"/>
    <s v="No"/>
    <s v="No"/>
    <s v="No"/>
    <s v="No"/>
    <s v="Chain of command"/>
    <x v="2"/>
    <s v="No"/>
    <s v="No"/>
    <s v="No"/>
    <x v="1"/>
    <x v="2"/>
    <s v="-"/>
    <s v="-"/>
    <s v="Yes"/>
    <s v="-"/>
    <s v="I don't know / Prefer not to say"/>
    <s v="No"/>
    <s v="No"/>
    <x v="0"/>
    <s v="1. There was a considerable delay (6 months plus) without communications and it was only when I chased it up that things seem to start happening again!_x000a_2. The SC process and DB do not take into account the fact that they have all facts laid out in front of them, when the respondent is only reacting to what they are being told up to a specific point in time and that they only have the information fed to them by the complainant to work on. There seems to be no consideration of the difficulties that a respondent has due to not knowing everything instantly!_x000a_3. My view is that the DB wants to make the complaint go away and be as painless as possible to both the Complainant and the CofC so will find some way to find in favour of the complainant and find something to blame or criticise the respondent for! This is my experience! _x000a_4. There were lies identified in the statement by the complainant, which were confirmed as untrue by statements from the CM Full Colonel, but this was overlooked and ignored by the DB._x000a_5. As a result of a couple of SC's I have absolutely no faith whatsoever in the fairness of the SC system when it relates to allowances and how HR staff have to interpret regulations. "/>
    <s v="Yes"/>
    <s v="I felt considerable stress as a result of being accused of bullying a Full Colonel (even though I am a Major). There were lies detailed by the Full Colonel that due to the testimony of others were clearly untrue, but because as a Respondent I cannot complain about the DB's decisions there was no where for me to go when what I regarded as a negative comment was made about me by the DB and this caused me great angst and stress. I dread other SC's because I have no faith in the SC system, which in my experience has proven itself to not fairly look at or treat HR staff when they are implementing regulatory requirements. "/>
    <x v="1"/>
    <s v="-"/>
    <x v="5"/>
    <s v="-"/>
    <s v="Dissatisfied"/>
    <s v="-"/>
    <s v="British Army"/>
    <s v="Regular (inc. veteran and retired regulars)"/>
    <s v="Officer"/>
    <s v="50+"/>
    <s v="Male"/>
    <s v="White"/>
  </r>
  <r>
    <n v="170515928"/>
    <n v="25"/>
    <s v="185.13.50.215"/>
    <m/>
    <n v="44385"/>
    <n v="0.70383449074074067"/>
    <n v="44385"/>
    <n v="0.70566346064814811"/>
    <s v="Completed"/>
    <m/>
    <x v="0"/>
    <s v="Other"/>
    <s v="Yes"/>
    <s v="Yes"/>
    <s v="Yes"/>
    <s v="Yes"/>
    <x v="3"/>
    <s v="No"/>
    <s v="No"/>
    <s v="No"/>
    <s v="No"/>
    <s v="Training"/>
    <x v="0"/>
    <s v="No"/>
    <s v="No"/>
    <s v="I don't think this applies to me/ I prefer not to say"/>
    <x v="0"/>
    <x v="0"/>
    <s v="-"/>
    <s v="-"/>
    <s v="-"/>
    <s v="-"/>
    <s v="-"/>
    <s v="-"/>
    <s v="-"/>
    <x v="0"/>
    <s v="-"/>
    <s v="-"/>
    <s v="-"/>
    <x v="0"/>
    <s v="-"/>
    <x v="0"/>
    <s v="-"/>
    <s v="-"/>
    <s v="-"/>
    <s v="-"/>
    <s v="-"/>
    <s v="-"/>
    <s v="-"/>
    <s v="Female"/>
    <s v="White"/>
  </r>
  <r>
    <n v="170553740"/>
    <n v="26"/>
    <s v="185.13.50.183"/>
    <m/>
    <n v="44386"/>
    <n v="0.37500008101851851"/>
    <n v="44386"/>
    <n v="0.37940836805555556"/>
    <s v="Completed"/>
    <m/>
    <x v="1"/>
    <s v="-"/>
    <s v="-"/>
    <s v="-"/>
    <s v="-"/>
    <s v="-"/>
    <x v="0"/>
    <s v="Yes"/>
    <s v="No"/>
    <s v="No"/>
    <s v="No"/>
    <s v="Other"/>
    <x v="3"/>
    <s v="Yes"/>
    <s v="Yes"/>
    <s v="Yes"/>
    <x v="0"/>
    <x v="2"/>
    <s v="-"/>
    <s v="-"/>
    <s v="Yes"/>
    <s v="Yes"/>
    <s v="No"/>
    <s v="Yes"/>
    <s v="Yes"/>
    <x v="0"/>
    <s v="-"/>
    <s v="No"/>
    <s v="-"/>
    <x v="1"/>
    <s v="-"/>
    <x v="5"/>
    <s v="Yes"/>
    <s v="Satisfied"/>
    <s v="-"/>
    <s v="British Army"/>
    <s v="Regular (inc. veteran and retired regulars)"/>
    <s v="Officer"/>
    <s v="40-49"/>
    <s v="Male"/>
    <s v="White"/>
  </r>
  <r>
    <n v="170558441"/>
    <n v="27"/>
    <s v="185.13.50.187"/>
    <m/>
    <n v="44386"/>
    <n v="0.40896704861111116"/>
    <n v="44386"/>
    <n v="0.41228958333333332"/>
    <s v="Completed"/>
    <m/>
    <x v="1"/>
    <s v="-"/>
    <s v="-"/>
    <s v="-"/>
    <s v="-"/>
    <s v="-"/>
    <x v="5"/>
    <s v="Yes"/>
    <s v="No"/>
    <s v="No"/>
    <s v="No"/>
    <s v="Other"/>
    <x v="0"/>
    <s v="Yes"/>
    <s v="Yes"/>
    <s v="Yes"/>
    <x v="0"/>
    <x v="1"/>
    <s v="-"/>
    <s v="-"/>
    <s v="-"/>
    <s v="-"/>
    <s v="-"/>
    <s v="-"/>
    <s v="-"/>
    <x v="0"/>
    <s v="-"/>
    <s v="-"/>
    <s v="-"/>
    <x v="0"/>
    <s v="-"/>
    <x v="0"/>
    <s v="-"/>
    <s v="-"/>
    <s v="-"/>
    <s v="British Army"/>
    <s v="Regular (inc. veteran and retired regulars)"/>
    <s v="Officer"/>
    <s v="40-49"/>
    <s v="Prefer not to answer"/>
    <s v="Prefer not to answer"/>
  </r>
  <r>
    <n v="170559807"/>
    <n v="28"/>
    <s v="185.13.50.183"/>
    <m/>
    <n v="44386"/>
    <n v="0.4212812847222222"/>
    <n v="44386"/>
    <n v="0.42409846064814816"/>
    <s v="Completed"/>
    <m/>
    <x v="0"/>
    <s v="Chain of Command"/>
    <s v="I haven't sought any information on SCOAF"/>
    <s v="No"/>
    <s v="No"/>
    <s v="No"/>
    <x v="2"/>
    <s v="No"/>
    <s v="No"/>
    <s v="No"/>
    <s v="Yes"/>
    <s v="Chain of command"/>
    <x v="1"/>
    <s v="No"/>
    <s v="I don't know/ I prefer not to say"/>
    <s v="I don't think this applies to me/ I prefer not to say"/>
    <x v="2"/>
    <x v="0"/>
    <s v="-"/>
    <s v="-"/>
    <s v="-"/>
    <s v="-"/>
    <s v="-"/>
    <s v="-"/>
    <s v="-"/>
    <x v="0"/>
    <s v="-"/>
    <s v="-"/>
    <s v="-"/>
    <x v="0"/>
    <s v="-"/>
    <x v="0"/>
    <s v="-"/>
    <s v="-"/>
    <s v="-"/>
    <s v="British Army"/>
    <s v="Regular (inc. veteran and retired regulars)"/>
    <s v="Non Commissioned Officers/Warrant Officers and equivalent rank"/>
    <s v="40-49"/>
    <s v="Male"/>
    <s v="White"/>
  </r>
  <r>
    <n v="170560306"/>
    <n v="29"/>
    <s v="185.13.50.180"/>
    <m/>
    <n v="44386"/>
    <n v="0.42531346064814812"/>
    <n v="44386"/>
    <n v="0.42734140046296298"/>
    <s v="Completed"/>
    <m/>
    <x v="0"/>
    <s v="I did not know about SCOAF before this visit was announced"/>
    <s v="Yes"/>
    <s v="Yes"/>
    <s v="Yes"/>
    <s v="Yes"/>
    <x v="2"/>
    <s v="Yes"/>
    <s v="Yes"/>
    <s v="No"/>
    <s v="No"/>
    <s v="Chain of command"/>
    <x v="0"/>
    <s v="No"/>
    <s v="Yes"/>
    <s v="I don't think this applies to me/ I prefer not to say"/>
    <x v="2"/>
    <x v="0"/>
    <s v="-"/>
    <s v="-"/>
    <s v="-"/>
    <s v="-"/>
    <s v="-"/>
    <s v="-"/>
    <s v="-"/>
    <x v="0"/>
    <s v="-"/>
    <s v="-"/>
    <s v="-"/>
    <x v="0"/>
    <s v="-"/>
    <x v="0"/>
    <s v="-"/>
    <s v="-"/>
    <s v="-"/>
    <s v="British Army"/>
    <s v="Regular (inc. veteran and retired regulars)"/>
    <s v="Officer"/>
    <s v="50+"/>
    <s v="Male"/>
    <s v="White"/>
  </r>
  <r>
    <n v="170582018"/>
    <n v="30"/>
    <s v="185.13.50.215"/>
    <m/>
    <n v="44386"/>
    <n v="0.59090173611111108"/>
    <n v="44386"/>
    <n v="0.59585439814814822"/>
    <s v="Completed"/>
    <m/>
    <x v="1"/>
    <s v="-"/>
    <s v="-"/>
    <s v="-"/>
    <s v="-"/>
    <s v="-"/>
    <x v="2"/>
    <s v="No"/>
    <s v="No"/>
    <s v="No"/>
    <s v="Yes"/>
    <s v="Online search"/>
    <x v="3"/>
    <s v="Yes"/>
    <s v="Yes"/>
    <s v="Yes"/>
    <x v="0"/>
    <x v="2"/>
    <s v="-"/>
    <s v="-"/>
    <s v="Yes"/>
    <s v="Yes"/>
    <s v="No"/>
    <s v="Yes"/>
    <s v="Yes"/>
    <x v="0"/>
    <s v="-"/>
    <s v="Yes"/>
    <s v="Because of the coronavirus pandemic the service complaint took too long to conclude and then went to appeal.  This caused worry and strain on me."/>
    <x v="5"/>
    <s v="-"/>
    <x v="1"/>
    <s v="-"/>
    <s v="Satisfied"/>
    <s v="-"/>
    <s v="-"/>
    <s v="-"/>
    <s v="-"/>
    <s v="-"/>
    <s v="-"/>
    <s v="-"/>
  </r>
  <r>
    <n v="170583591"/>
    <n v="31"/>
    <s v="185.13.50.180"/>
    <m/>
    <n v="44386"/>
    <n v="0.6018390393518519"/>
    <n v="44386"/>
    <n v="0.60428935185185184"/>
    <s v="Completed"/>
    <m/>
    <x v="0"/>
    <s v="I did not know about SCOAF before this visit was announced"/>
    <s v="I haven't sought any information on SCOAF"/>
    <s v="No"/>
    <s v="No"/>
    <s v="No"/>
    <x v="0"/>
    <s v="No"/>
    <s v="No"/>
    <s v="No"/>
    <s v="Yes"/>
    <s v="Knowledge from a previous complaint"/>
    <x v="3"/>
    <s v="No"/>
    <s v="Yes"/>
    <s v="Yes"/>
    <x v="0"/>
    <x v="0"/>
    <s v="-"/>
    <s v="-"/>
    <s v="-"/>
    <s v="-"/>
    <s v="-"/>
    <s v="-"/>
    <s v="-"/>
    <x v="0"/>
    <s v="-"/>
    <s v="-"/>
    <s v="-"/>
    <x v="0"/>
    <s v="-"/>
    <x v="0"/>
    <s v="-"/>
    <s v="-"/>
    <s v="-"/>
    <s v="British Army"/>
    <s v="Regular (inc. veteran and retired regulars)"/>
    <s v="Officer"/>
    <s v="50+"/>
    <s v="Male"/>
    <s v="White"/>
  </r>
  <r>
    <n v="170583206"/>
    <n v="32"/>
    <s v="185.13.50.219"/>
    <m/>
    <n v="44386"/>
    <n v="0.59892303240740741"/>
    <n v="44386"/>
    <n v="0.60493556712962959"/>
    <s v="Completed"/>
    <m/>
    <x v="1"/>
    <s v="-"/>
    <s v="-"/>
    <s v="-"/>
    <s v="-"/>
    <s v="-"/>
    <x v="2"/>
    <s v="No"/>
    <s v="No"/>
    <s v="No"/>
    <s v="Yes"/>
    <s v="Online search"/>
    <x v="1"/>
    <s v="No"/>
    <s v="No"/>
    <s v="No"/>
    <x v="1"/>
    <x v="2"/>
    <s v="-"/>
    <s v="-"/>
    <s v="Yes"/>
    <s v="Yes"/>
    <s v="Yes"/>
    <s v="No"/>
    <s v="I don't know / Prefer not to say"/>
    <x v="0"/>
    <s v="It seems that a complaint can be made against you for whatever reason and no judgement is made on its balance before moving to an investigation. "/>
    <s v="Yes"/>
    <s v="I was after 40 years service of an unblemished career made to feel that i was guilty and it was all about the complainant - little time or effort is applied to the impact on those accused of a behaviour. I was not sleeping, was taking my feelings home and this impacted upon my family and worryingly, it changed my behaviour in terms of my willingness to act when i saw poor behaviour in fear of yet another complaint. The system as it is will eventually lead to do nothing as this is the best option."/>
    <x v="1"/>
    <s v="-"/>
    <x v="2"/>
    <s v="I don't know / Prefer not to say"/>
    <s v="Prefer not to say"/>
    <s v="-"/>
    <s v="-"/>
    <s v="-"/>
    <s v="-"/>
    <s v="-"/>
    <s v="-"/>
    <s v="-"/>
  </r>
  <r>
    <n v="170583627"/>
    <n v="33"/>
    <s v="185.13.50.215"/>
    <m/>
    <n v="44386"/>
    <n v="0.60200798611111106"/>
    <n v="44386"/>
    <n v="0.60617392361111111"/>
    <s v="Completed"/>
    <m/>
    <x v="0"/>
    <s v="I did not know about SCOAF before this visit was announced"/>
    <s v="I haven't sought any information on SCOAF"/>
    <s v="Yes"/>
    <s v="Yes"/>
    <s v="No"/>
    <x v="4"/>
    <s v="No"/>
    <s v="No"/>
    <s v="No"/>
    <s v="Yes"/>
    <s v="Online search"/>
    <x v="3"/>
    <s v="Yes"/>
    <s v="Yes"/>
    <s v="I don't think this applies to me/ I prefer not to say"/>
    <x v="0"/>
    <x v="2"/>
    <s v="I don't know / Prefer not to say"/>
    <s v="I don't know / Prefer not to say"/>
    <s v="Yes"/>
    <s v="Yes"/>
    <s v="Yes"/>
    <s v="Yes"/>
    <s v="Yes"/>
    <x v="3"/>
    <s v="-"/>
    <s v="No"/>
    <s v="-"/>
    <x v="3"/>
    <s v="I don't know / Prefer not to say/ I am not the complainant"/>
    <x v="5"/>
    <s v="Yes"/>
    <s v="Satisfied"/>
    <s v="-"/>
    <s v="British Army"/>
    <s v="Regular (inc. veteran and retired regulars)"/>
    <s v="Non Commissioned Officers/Warrant Officers and equivalent rank"/>
    <s v="20-29"/>
    <s v="Male"/>
    <s v="White"/>
  </r>
  <r>
    <n v="170616926"/>
    <n v="34"/>
    <s v="2a00:23c4:8597:8600:bcbc:5c5:dcc4:497b"/>
    <m/>
    <n v="44386"/>
    <n v="0.92655748842592589"/>
    <n v="44386"/>
    <n v="0.92752619212962972"/>
    <s v="Completed"/>
    <m/>
    <x v="1"/>
    <s v="-"/>
    <s v="-"/>
    <s v="-"/>
    <s v="-"/>
    <s v="-"/>
    <x v="2"/>
    <s v="No"/>
    <s v="No"/>
    <s v="Yes"/>
    <s v="No"/>
    <s v="Online search"/>
    <x v="2"/>
    <s v="No"/>
    <s v="No"/>
    <s v="No"/>
    <x v="1"/>
    <x v="0"/>
    <s v="-"/>
    <s v="-"/>
    <s v="-"/>
    <s v="-"/>
    <s v="-"/>
    <s v="-"/>
    <s v="-"/>
    <x v="0"/>
    <s v="-"/>
    <s v="-"/>
    <s v="-"/>
    <x v="0"/>
    <s v="-"/>
    <x v="0"/>
    <s v="-"/>
    <s v="-"/>
    <s v="-"/>
    <s v="Royal Air Force"/>
    <s v="Regular (inc. veteran and retired regulars)"/>
    <s v="Officer"/>
    <s v="20-29"/>
    <s v="Female"/>
    <s v="Mixed"/>
  </r>
  <r>
    <n v="170644485"/>
    <n v="35"/>
    <s v="185.13.50.219"/>
    <m/>
    <n v="44387"/>
    <n v="0.5561494212962963"/>
    <n v="44387"/>
    <n v="0.5593210300925926"/>
    <s v="Completed"/>
    <m/>
    <x v="0"/>
    <s v="From a current or previous complaint"/>
    <s v="Yes"/>
    <s v="Yes"/>
    <s v="Yes"/>
    <s v="No"/>
    <x v="4"/>
    <s v="Yes"/>
    <s v="Yes"/>
    <s v="Yes"/>
    <s v="No"/>
    <s v="Other"/>
    <x v="3"/>
    <s v="Yes"/>
    <s v="Yes"/>
    <s v="No"/>
    <x v="0"/>
    <x v="0"/>
    <s v="-"/>
    <s v="-"/>
    <s v="-"/>
    <s v="-"/>
    <s v="-"/>
    <s v="-"/>
    <s v="-"/>
    <x v="0"/>
    <s v="-"/>
    <s v="-"/>
    <s v="-"/>
    <x v="0"/>
    <s v="-"/>
    <x v="0"/>
    <s v="-"/>
    <s v="-"/>
    <s v="-"/>
    <s v="-"/>
    <s v="-"/>
    <s v="Officer"/>
    <s v="Prefer not to answer"/>
    <s v="Prefer not to answer"/>
    <s v="Prefer not to answer"/>
  </r>
  <r>
    <n v="170712249"/>
    <n v="36"/>
    <s v="185.13.50.183"/>
    <m/>
    <n v="44389"/>
    <n v="0.34951504629629632"/>
    <n v="44389"/>
    <n v="0.35244687499999999"/>
    <s v="Completed"/>
    <m/>
    <x v="0"/>
    <s v="From a current or previous complaint"/>
    <s v="I haven't sought any information on SCOAF"/>
    <s v="Yes"/>
    <s v="Yes"/>
    <s v="Yes"/>
    <x v="4"/>
    <s v="No"/>
    <s v="No"/>
    <s v="Yes"/>
    <s v="No"/>
    <s v="Other"/>
    <x v="0"/>
    <s v="Yes"/>
    <s v="Yes"/>
    <s v="Yes"/>
    <x v="0"/>
    <x v="1"/>
    <s v="-"/>
    <s v="-"/>
    <s v="-"/>
    <s v="-"/>
    <s v="-"/>
    <s v="-"/>
    <s v="-"/>
    <x v="0"/>
    <s v="-"/>
    <s v="-"/>
    <s v="-"/>
    <x v="0"/>
    <s v="-"/>
    <x v="0"/>
    <s v="-"/>
    <s v="-"/>
    <s v="-"/>
    <s v="British Army"/>
    <s v="Reservist (inc. veteran and retired reservist)"/>
    <s v="Officer"/>
    <s v="50+"/>
    <s v="Male"/>
    <s v="White"/>
  </r>
  <r>
    <n v="170722294"/>
    <n v="37"/>
    <s v="185.13.50.212"/>
    <m/>
    <n v="44389"/>
    <n v="0.42803047453703708"/>
    <n v="44389"/>
    <n v="0.43206331018518518"/>
    <s v="Completed"/>
    <m/>
    <x v="0"/>
    <s v="Colleague or friend"/>
    <s v="No"/>
    <s v="Yes"/>
    <s v="Yes"/>
    <s v="No"/>
    <x v="2"/>
    <s v="No"/>
    <s v="No"/>
    <s v="No"/>
    <s v="Yes"/>
    <s v="Knowledge from a previous complaint"/>
    <x v="1"/>
    <s v="Yes"/>
    <s v="No"/>
    <s v="No"/>
    <x v="2"/>
    <x v="0"/>
    <s v="-"/>
    <s v="-"/>
    <s v="-"/>
    <s v="-"/>
    <s v="-"/>
    <s v="-"/>
    <s v="-"/>
    <x v="0"/>
    <s v="-"/>
    <s v="-"/>
    <s v="-"/>
    <x v="0"/>
    <s v="-"/>
    <x v="0"/>
    <s v="-"/>
    <s v="-"/>
    <s v="-"/>
    <s v="British Army"/>
    <s v="Reservist (inc. veteran and retired reservist)"/>
    <s v="Officer"/>
    <s v="50+"/>
    <s v="Male"/>
    <s v="White"/>
  </r>
  <r>
    <n v="170729858"/>
    <n v="38"/>
    <s v="185.13.50.177"/>
    <m/>
    <n v="44389"/>
    <n v="0.47992314814814813"/>
    <n v="44389"/>
    <n v="0.48293526620370369"/>
    <s v="Completed"/>
    <m/>
    <x v="0"/>
    <s v="I did not know about SCOAF before this visit was announced"/>
    <s v="I didn't know SCOAF existed/ I prefer not to say"/>
    <s v="No"/>
    <s v="I didn't know that the Ombudsman existed/ I prefer not to say"/>
    <s v="No"/>
    <x v="1"/>
    <s v="No"/>
    <s v="No"/>
    <s v="No"/>
    <s v="Yes"/>
    <s v="Service Welfare/ support"/>
    <x v="2"/>
    <s v="I prefer not to say"/>
    <s v="I don't know/ I prefer not to say"/>
    <s v="I don't think this applies to me/ I prefer not to say"/>
    <x v="2"/>
    <x v="3"/>
    <s v="I don't know / Prefer not to say"/>
    <s v="I don't know / Prefer not to say"/>
    <s v="I don't know / Prefer not to say"/>
    <s v="I don't know / Prefer not to say"/>
    <s v="I don't know / Prefer not to say"/>
    <s v="I don't know / Prefer not to say"/>
    <s v="I don't know / Prefer not to say"/>
    <x v="3"/>
    <s v="-"/>
    <s v="I don't know / Prefer not to say"/>
    <s v="-"/>
    <x v="4"/>
    <s v="I don't know / Prefer not to say/ I am not the complainant"/>
    <x v="0"/>
    <s v="I don't know / Prefer not to say"/>
    <s v="Prefer not to say"/>
    <s v="-"/>
    <s v="-"/>
    <s v="-"/>
    <s v="-"/>
    <s v="-"/>
    <s v="-"/>
    <s v="-"/>
  </r>
  <r>
    <n v="170732425"/>
    <n v="39"/>
    <s v="2a01:4c8:1c81:7227:259c:dc9d:ccd8:b30a"/>
    <m/>
    <n v="44389"/>
    <n v="0.4977636226851852"/>
    <n v="44389"/>
    <n v="0.50070231481481475"/>
    <s v="Completed"/>
    <m/>
    <x v="1"/>
    <s v="-"/>
    <s v="-"/>
    <s v="-"/>
    <s v="-"/>
    <s v="-"/>
    <x v="2"/>
    <s v="Yes"/>
    <s v="Yes"/>
    <s v="Yes"/>
    <s v="No"/>
    <s v="Training"/>
    <x v="3"/>
    <s v="No"/>
    <s v="No"/>
    <s v="No"/>
    <x v="1"/>
    <x v="3"/>
    <s v="Yes"/>
    <s v="No"/>
    <s v="No"/>
    <s v="Yes"/>
    <s v="No"/>
    <s v="No"/>
    <s v="No"/>
    <x v="1"/>
    <s v="Conflict of interest, bias and deliberate delay "/>
    <s v="Yes"/>
    <s v="Situation made me unwell with isolation, hyper-vigilance, anxiety as well as sleeping and relationship issues.   "/>
    <x v="4"/>
    <s v="Yes"/>
    <x v="6"/>
    <s v="No"/>
    <s v="Dissatisfied"/>
    <s v="-"/>
    <s v="-"/>
    <s v="-"/>
    <s v="-"/>
    <s v="-"/>
    <s v="-"/>
    <s v="-"/>
  </r>
  <r>
    <n v="170733190"/>
    <n v="40"/>
    <s v="185.13.50.213"/>
    <m/>
    <n v="44389"/>
    <n v="0.50120112268518524"/>
    <n v="44389"/>
    <n v="0.5071824421296296"/>
    <s v="Completed"/>
    <m/>
    <x v="1"/>
    <s v="-"/>
    <s v="-"/>
    <s v="-"/>
    <s v="-"/>
    <s v="-"/>
    <x v="2"/>
    <s v="Yes"/>
    <s v="No"/>
    <s v="No"/>
    <s v="No"/>
    <s v="Knowledge from a previous complaint"/>
    <x v="2"/>
    <s v="No"/>
    <s v="No"/>
    <s v="No"/>
    <x v="1"/>
    <x v="2"/>
    <s v="Yes"/>
    <s v="Yes"/>
    <s v="Yes"/>
    <s v="Yes"/>
    <s v="Yes"/>
    <s v="No"/>
    <s v="No"/>
    <x v="2"/>
    <s v="Because the SC process does not allow any link to the AGAI process I was not allowed to produce critical evidence which would have made a huge difference to the outcome of my SC."/>
    <s v="Yes"/>
    <s v="Extreme stress which led to exhaustion and hospitalisation with a life threatening illness.  Also caused loss of my Sub Unit Comd appointment which had a significant effect on my career.  It took almost 4 years to completely clear my name and had a major impact on my family and health."/>
    <x v="2"/>
    <s v="No"/>
    <x v="1"/>
    <s v="No"/>
    <s v="Dissatisfied"/>
    <s v="-"/>
    <s v="-"/>
    <s v="-"/>
    <s v="-"/>
    <s v="-"/>
    <s v="-"/>
    <s v="-"/>
  </r>
  <r>
    <n v="170737284"/>
    <n v="41"/>
    <s v="18.168.217.5"/>
    <m/>
    <n v="44389"/>
    <n v="0.53187318287037033"/>
    <n v="44389"/>
    <n v="0.53677418981481484"/>
    <s v="Completed"/>
    <m/>
    <x v="1"/>
    <s v="-"/>
    <s v="-"/>
    <s v="-"/>
    <s v="-"/>
    <s v="-"/>
    <x v="2"/>
    <s v="No"/>
    <s v="No"/>
    <s v="No"/>
    <s v="No"/>
    <s v="Service Welfare/ support"/>
    <x v="2"/>
    <s v="No"/>
    <s v="No"/>
    <s v="No"/>
    <x v="1"/>
    <x v="3"/>
    <s v="Yes"/>
    <s v="Yes"/>
    <s v="Yes"/>
    <s v="Yes"/>
    <s v="Yes"/>
    <s v="No"/>
    <s v="No"/>
    <x v="1"/>
    <s v="P1/ the Service Complaints team continuously made data breaches by sending information to the wrong address / wrong email recipient. The greatest of these breaches involved sending all my respondents and witness statements to the wrong address as they hadn't bothered to check their records (I had moved 7 months prior)._x000a_I regularly had to chase my 30 day updates and was only informed my DO had changed after 10 months._x000a_Regarding appropriate evidence being submitted, my 4 respondents did not submit any evidence vice a plethora from me, yet the DO still found in their favour based on word of mouth."/>
    <s v="Yes"/>
    <s v="I was referred back to DCMH over for anxiety, stress and depression over how my complaint was handled and the amount of time things took. Having to receive all my statements from my ex husband the week before Christmas had a huge effect on me as I had a plan in place with DCMH, my AO and Welfare as to how I would handle receiving them and due them going to the incorrect address this system could not be put in place. "/>
    <x v="1"/>
    <s v="No"/>
    <x v="6"/>
    <s v="No"/>
    <s v="Dissatisfied"/>
    <s v="-"/>
    <s v="-"/>
    <s v="-"/>
    <s v="-"/>
    <s v="-"/>
    <s v="-"/>
    <s v="-"/>
  </r>
  <r>
    <n v="170738632"/>
    <n v="42"/>
    <s v="185.13.50.177"/>
    <m/>
    <n v="44389"/>
    <n v="0.5409607291666666"/>
    <n v="44389"/>
    <n v="0.54926177083333327"/>
    <s v="Completed"/>
    <m/>
    <x v="0"/>
    <s v="Online search"/>
    <s v="No"/>
    <s v="No"/>
    <s v="No"/>
    <s v="No"/>
    <x v="4"/>
    <s v="No"/>
    <s v="No"/>
    <s v="No"/>
    <s v="Yes"/>
    <s v="Online search"/>
    <x v="2"/>
    <s v="No"/>
    <s v="No"/>
    <s v="No"/>
    <x v="1"/>
    <x v="3"/>
    <s v="I don't know / Prefer not to say"/>
    <s v="I don't know / Prefer not to say"/>
    <s v="I don't know / Prefer not to say"/>
    <s v="I don't know / Prefer not to say"/>
    <s v="I don't know / Prefer not to say"/>
    <s v="I don't know / Prefer not to say"/>
    <s v="I don't know / Prefer not to say"/>
    <x v="3"/>
    <s v="The way the entire process is structure is fundamentally floored and favours the organisation and not the individual. "/>
    <s v="Yes"/>
    <s v="It was hugely stressful and sadly totally ineffective at resolving the issue and came at the end of a process that was equally as poor for ones mental health.  "/>
    <x v="4"/>
    <s v="Yes"/>
    <x v="3"/>
    <s v="No"/>
    <s v="Dissatisfied"/>
    <s v="-"/>
    <s v="-"/>
    <s v="-"/>
    <s v="-"/>
    <s v="-"/>
    <s v="-"/>
    <s v="-"/>
  </r>
  <r>
    <n v="170731729"/>
    <n v="43"/>
    <s v="185.13.50.186"/>
    <m/>
    <n v="44389"/>
    <n v="0.49257311342592591"/>
    <n v="44389"/>
    <n v="0.5515127314814815"/>
    <s v="Completed"/>
    <m/>
    <x v="1"/>
    <s v="-"/>
    <s v="-"/>
    <s v="-"/>
    <s v="-"/>
    <s v="-"/>
    <x v="0"/>
    <s v="No"/>
    <s v="No"/>
    <s v="No"/>
    <s v="Yes"/>
    <s v="Other"/>
    <x v="3"/>
    <s v="Yes"/>
    <s v="Yes"/>
    <s v="Yes"/>
    <x v="0"/>
    <x v="2"/>
    <s v="-"/>
    <s v="-"/>
    <s v="Yes"/>
    <s v="Yes"/>
    <s v="I don't know / Prefer not to say"/>
    <s v="Yes"/>
    <s v="Yes"/>
    <x v="0"/>
    <s v="-"/>
    <s v="No"/>
    <s v="-"/>
    <x v="5"/>
    <s v="-"/>
    <x v="6"/>
    <s v="I don't know / Prefer not to say"/>
    <s v="Prefer not to say"/>
    <s v="-"/>
    <s v="-"/>
    <s v="-"/>
    <s v="-"/>
    <s v="-"/>
    <s v="-"/>
    <s v="-"/>
  </r>
  <r>
    <n v="170740043"/>
    <n v="44"/>
    <s v="185.13.50.219"/>
    <m/>
    <n v="44389"/>
    <n v="0.55261697916666663"/>
    <n v="44389"/>
    <n v="0.5577227199074074"/>
    <s v="Completed"/>
    <m/>
    <x v="1"/>
    <s v="-"/>
    <s v="-"/>
    <s v="-"/>
    <s v="-"/>
    <s v="-"/>
    <x v="2"/>
    <s v="Yes"/>
    <s v="Yes"/>
    <s v="No"/>
    <s v="No"/>
    <s v="Knowledge from a previous complaint"/>
    <x v="2"/>
    <s v="No"/>
    <s v="No"/>
    <s v="No"/>
    <x v="1"/>
    <x v="3"/>
    <s v="No"/>
    <s v="No"/>
    <s v="Yes"/>
    <s v="Yes"/>
    <s v="Yes"/>
    <s v="No"/>
    <s v="No"/>
    <x v="1"/>
    <s v="Yes, i made a Complaint about bullying and harassment by a member of my chain of command(OC), an my CO was appointed as the deciding officer despite being a respondent to the complaint. When i approach him and asked him to remove himself as the DO, he refused. I was subsequently bullied further by my CoC and the SC investigation conducted by my CO has been restarted and overseen by the SC Sec. "/>
    <s v="Yes"/>
    <s v="I suffered with the early ramifications of bullying and harassment. but it has now been 2 years since my SC began to be investigated and they are yet to be concluded. I now suffer more form the protracted nature of the investigation being unresolved then the initial bullying. this has lead to DCMH diagnosed mental health issues with anxiety, depression, loneliness and paranoia. "/>
    <x v="4"/>
    <s v="No"/>
    <x v="6"/>
    <s v="No"/>
    <s v="Dissatisfied"/>
    <s v="-"/>
    <s v="-"/>
    <s v="-"/>
    <s v="-"/>
    <s v="-"/>
    <s v="-"/>
    <s v="-"/>
  </r>
  <r>
    <n v="170749142"/>
    <n v="45"/>
    <s v="185.13.50.215"/>
    <m/>
    <n v="44389"/>
    <n v="0.61046721064814813"/>
    <n v="44389"/>
    <n v="0.6123347569444445"/>
    <s v="Completed"/>
    <m/>
    <x v="1"/>
    <s v="-"/>
    <s v="-"/>
    <s v="-"/>
    <s v="-"/>
    <s v="-"/>
    <x v="0"/>
    <s v="No"/>
    <s v="No"/>
    <s v="No"/>
    <s v="Yes"/>
    <s v="Online search"/>
    <x v="2"/>
    <s v="No"/>
    <s v="No"/>
    <s v="Yes"/>
    <x v="1"/>
    <x v="2"/>
    <s v="-"/>
    <s v="-"/>
    <s v="No"/>
    <s v="No"/>
    <s v="-"/>
    <s v="No"/>
    <s v="No"/>
    <x v="0"/>
    <s v="-"/>
    <s v="Yes"/>
    <s v="Created a high level of personal stress."/>
    <x v="1"/>
    <s v="-"/>
    <x v="4"/>
    <s v="I don't know / Prefer not to say"/>
    <s v="Dissatisfied"/>
    <s v="-"/>
    <s v="-"/>
    <s v="-"/>
    <s v="-"/>
    <s v="-"/>
    <s v="-"/>
    <s v="-"/>
  </r>
  <r>
    <n v="170749355"/>
    <n v="46"/>
    <s v="185.13.50.183"/>
    <m/>
    <n v="44389"/>
    <n v="0.61187511574074072"/>
    <n v="44389"/>
    <n v="0.61489795138888892"/>
    <s v="Completed"/>
    <m/>
    <x v="0"/>
    <s v="I did not know about SCOAF before this visit was announced"/>
    <s v="Yes"/>
    <s v="Yes"/>
    <s v="Yes"/>
    <s v="No"/>
    <x v="4"/>
    <s v="No"/>
    <s v="Yes"/>
    <s v="No"/>
    <s v="No"/>
    <s v="Online search"/>
    <x v="3"/>
    <s v="No"/>
    <s v="No"/>
    <s v="I don't think this applies to me/ I prefer not to say"/>
    <x v="1"/>
    <x v="3"/>
    <s v="No"/>
    <s v="Yes"/>
    <s v="No"/>
    <s v="No"/>
    <s v="I don't know / Prefer not to say"/>
    <s v="No"/>
    <s v="Yes"/>
    <x v="2"/>
    <s v="-"/>
    <s v="Yes"/>
    <s v="-"/>
    <x v="5"/>
    <s v="No"/>
    <x v="5"/>
    <s v="Yes"/>
    <s v="Neutral"/>
    <s v="-"/>
    <s v="British Army"/>
    <s v="Regular (inc. veteran and retired regulars)"/>
    <s v="Non Commissioned Officers/Warrant Officers and equivalent rank"/>
    <s v="30-39"/>
    <s v="Male"/>
    <s v="White"/>
  </r>
  <r>
    <n v="170752800"/>
    <n v="47"/>
    <s v="185.13.50.212"/>
    <m/>
    <n v="44389"/>
    <n v="0.6319048263888889"/>
    <n v="44389"/>
    <n v="0.63529876157407406"/>
    <s v="Completed"/>
    <m/>
    <x v="1"/>
    <s v="-"/>
    <s v="-"/>
    <s v="-"/>
    <s v="-"/>
    <s v="-"/>
    <x v="2"/>
    <s v="No"/>
    <s v="No"/>
    <s v="No"/>
    <s v="Yes"/>
    <s v="Other"/>
    <x v="2"/>
    <s v="No"/>
    <s v="No"/>
    <s v="No"/>
    <x v="1"/>
    <x v="3"/>
    <s v="No"/>
    <s v="Yes"/>
    <s v="No"/>
    <s v="Yes"/>
    <s v="I don't know / Prefer not to say"/>
    <s v="No"/>
    <s v="Yes"/>
    <x v="3"/>
    <s v="time scale"/>
    <s v="Yes"/>
    <s v="prefer not to say"/>
    <x v="4"/>
    <s v="No"/>
    <x v="6"/>
    <s v="No"/>
    <s v="Prefer not to say"/>
    <s v="-"/>
    <s v="-"/>
    <s v="-"/>
    <s v="-"/>
    <s v="-"/>
    <s v="-"/>
    <s v="-"/>
  </r>
  <r>
    <n v="170841687"/>
    <n v="48"/>
    <s v="185.13.50.215"/>
    <m/>
    <n v="44390"/>
    <n v="0.57787118055555553"/>
    <n v="44390"/>
    <n v="0.5819227199074074"/>
    <s v="Completed"/>
    <m/>
    <x v="1"/>
    <s v="-"/>
    <s v="-"/>
    <s v="-"/>
    <s v="-"/>
    <s v="-"/>
    <x v="4"/>
    <s v="No"/>
    <s v="No"/>
    <s v="No"/>
    <s v="Yes"/>
    <s v="Chain of command"/>
    <x v="2"/>
    <s v="No"/>
    <s v="Yes"/>
    <s v="No"/>
    <x v="1"/>
    <x v="2"/>
    <s v="-"/>
    <s v="-"/>
    <s v="No"/>
    <s v="Yes"/>
    <s v="No"/>
    <s v="Yes"/>
    <s v="No"/>
    <x v="0"/>
    <s v="Yes. I was a respondent in a Service Complaint. I was not written to or informed I was a respondent until I received an email stating &quot; You will be aware that you are a respondent in a Service Complaint&quot; I was not aware until that email.  "/>
    <s v="No"/>
    <s v="-"/>
    <x v="3"/>
    <s v="-"/>
    <x v="5"/>
    <s v="-"/>
    <s v="Dissatisfied"/>
    <s v="-"/>
    <s v="British Army"/>
    <s v="Reservist (inc. veteran and retired reservist)"/>
    <s v="Officer"/>
    <s v="50+"/>
    <s v="Male"/>
    <s v="White"/>
  </r>
  <r>
    <n v="170894612"/>
    <n v="49"/>
    <s v="185.13.50.208"/>
    <m/>
    <n v="44391"/>
    <n v="6.1455520833333332E-2"/>
    <n v="44391"/>
    <n v="6.3678125000000002E-2"/>
    <s v="Completed"/>
    <m/>
    <x v="0"/>
    <s v="Television programme (inc. news), newspaper, magazine or book"/>
    <s v="No"/>
    <s v="Yes"/>
    <s v="No"/>
    <s v="No"/>
    <x v="1"/>
    <s v="No"/>
    <s v="No"/>
    <s v="No"/>
    <s v="Yes"/>
    <s v="Online search"/>
    <x v="1"/>
    <s v="No"/>
    <s v="No"/>
    <s v="No"/>
    <x v="1"/>
    <x v="0"/>
    <s v="-"/>
    <s v="-"/>
    <s v="-"/>
    <s v="-"/>
    <s v="-"/>
    <s v="-"/>
    <s v="-"/>
    <x v="0"/>
    <s v="-"/>
    <s v="-"/>
    <s v="-"/>
    <x v="0"/>
    <s v="-"/>
    <x v="0"/>
    <s v="-"/>
    <s v="-"/>
    <s v="-"/>
    <s v="British Army"/>
    <s v="Regular (inc. veteran and retired regulars)"/>
    <s v="Officer"/>
    <s v="-"/>
    <s v="-"/>
    <s v="-"/>
  </r>
  <r>
    <n v="171014182"/>
    <n v="50"/>
    <s v="185.13.50.177"/>
    <m/>
    <n v="44392"/>
    <n v="0.4982773148148148"/>
    <n v="44392"/>
    <n v="0.5152081828703704"/>
    <s v="Completed"/>
    <m/>
    <x v="1"/>
    <s v="-"/>
    <s v="-"/>
    <s v="-"/>
    <s v="-"/>
    <s v="-"/>
    <x v="2"/>
    <s v="No"/>
    <s v="No"/>
    <s v="No"/>
    <s v="Yes"/>
    <s v="Chain of command"/>
    <x v="2"/>
    <s v="No"/>
    <s v="No"/>
    <s v="No"/>
    <x v="3"/>
    <x v="2"/>
    <s v="-"/>
    <s v="-"/>
    <s v="Yes"/>
    <s v="Yes"/>
    <s v="Yes"/>
    <s v="No"/>
    <s v="I don't know / Prefer not to say"/>
    <x v="0"/>
    <s v="As a respondent you are tarnished by the allegation put forward by the complainant.  I totally understand there is a need to investigate but, the management of a complaint in my experience has affected my well being and I have found the process extremely stressful.  The allegations against me I strongly believe were untrue but, to resolve the differences it takes time and the focus will always be to support the complainant and you fail to understand the affects it has on the respondent when they believe it to be totally untrue.  The respondent is not supported and advised on how to counteract any complaints and this causes considerable friction and fails to support when the complaint is resolved.  We must have a more diverse system that supports both complainant and  respondent and not take it for granted it is resolved.  The respondent has been through the mill and suffered through the consequences of allegations.  Our focus should be impartial to both parties throughout.  Furthermore, equal in the conclusion if the allegations are found to be flawed.  Support to the respondent in enabling him to counteract allegations is just as important.        "/>
    <s v="Yes"/>
    <s v="Allegations do affect your well being, you have unnecessary worries.  It affects your ability to interact with the workforce and discredits your authority.  Persons involved in support of the allegation are mainly persons you routinely work with.  This affects all of the workforce when pegged between loyalty and unity of work ethics.  Individuals will naturally lean to protect themselves, this leans to biases and indirect discrimination for both parties.  Process is far to long and uncomfortable for all.  Our processes must be fair to both respondent and complainant to truly resolve and learn from the complaint.                "/>
    <x v="3"/>
    <s v="-"/>
    <x v="6"/>
    <s v="I don't know / Prefer not to say"/>
    <s v="Dissatisfied"/>
    <s v="-"/>
    <s v="-"/>
    <s v="-"/>
    <s v="-"/>
    <s v="-"/>
    <s v="-"/>
    <s v="-"/>
  </r>
  <r>
    <n v="171034963"/>
    <n v="51"/>
    <s v="82.39.49.77"/>
    <m/>
    <n v="44392"/>
    <n v="0.64984829861111104"/>
    <n v="44392"/>
    <n v="0.75195158564814812"/>
    <s v="Completed"/>
    <m/>
    <x v="1"/>
    <s v="-"/>
    <s v="-"/>
    <s v="-"/>
    <s v="-"/>
    <s v="-"/>
    <x v="4"/>
    <s v="No"/>
    <s v="No"/>
    <s v="No"/>
    <s v="Yes"/>
    <s v="Colleague or friend"/>
    <x v="3"/>
    <s v="No"/>
    <s v="No"/>
    <s v="Yes"/>
    <x v="1"/>
    <x v="3"/>
    <s v="Yes"/>
    <s v="I don't know / Prefer not to say"/>
    <s v="Yes"/>
    <s v="Yes"/>
    <s v="No"/>
    <s v="No"/>
    <s v="No"/>
    <x v="2"/>
    <s v="An Assisting Officer was given however the help received from them was minimal to no existent. In the information included in the report key medical information has been missed out and what is included has been disregarded despite being pertinent to the problem.  It appears that if information does not suit them or makes them appear negligent it is dismissed. Incorrect information was also allowed to be included despite in pre-disclosure it being pointed out as incorrect. "/>
    <s v="Yes"/>
    <s v="Due to the lack of support by the assisting officer, I had to reply on a friends and family to help me. Emails were sent to the assisting officer however the assisting officer did not check in or ask if i had any questions at any point. I did not then feel like the assisting officer was approachable or care to help with my compliant. This made the process more stressful than it already was. "/>
    <x v="1"/>
    <s v="Yes"/>
    <x v="1"/>
    <s v="No"/>
    <s v="Dissatisfied"/>
    <s v="-"/>
    <s v="-"/>
    <s v="-"/>
    <s v="-"/>
    <s v="-"/>
    <s v="-"/>
    <s v="-"/>
  </r>
  <r>
    <n v="171101657"/>
    <n v="52"/>
    <s v="185.13.50.178"/>
    <m/>
    <n v="44393"/>
    <n v="0.52148984953703703"/>
    <n v="44393"/>
    <n v="0.54754957175925922"/>
    <s v="Completed"/>
    <m/>
    <x v="1"/>
    <s v="-"/>
    <s v="-"/>
    <s v="-"/>
    <s v="-"/>
    <s v="-"/>
    <x v="2"/>
    <s v="No"/>
    <s v="No"/>
    <s v="No"/>
    <s v="Yes"/>
    <s v="Chain of command"/>
    <x v="2"/>
    <s v="No"/>
    <s v="No"/>
    <s v="No"/>
    <x v="1"/>
    <x v="3"/>
    <s v="No"/>
    <s v="Yes"/>
    <s v="No"/>
    <s v="No"/>
    <s v="I don't know / Prefer not to say"/>
    <s v="No"/>
    <s v="Yes"/>
    <x v="1"/>
    <s v="The entire system is a 'smoke and mirrors' process.  The system is designed to fail.  The Ombudsman chooses which evidence to accept and deny's the complainant a just outcome irrespective of the ultimate service decision.  The Ombudsman is protected by CDS and works entirely under the command and control of the Army; there is no transparency and no consequences.  I would recommend that civilians, especially women, choose not to join the military forces; it is a corrupt and fraudulent institution which is dangerous to those within.  Should personnel be subject to abuse, especially physical abuse, they should take matters to the civilian police as the military will not be supportive; conversely they will cover up the incident.  Firstly, do not join the organisation and secondly, if you do, then if suffering the trauma of an infliction, one should leave the organisation forthwith and don't look back, accept it, rape, murder, suicide, whatever the reason, as an experience and leave it as that.  Unfortunately, the Ombudsman is in bed with the Army General, is part of his 'leadership' team, comprising of all those at the head of service institutions around the country seeking ways in which to head off complaints rather than deal with them appropriately or seriously.  Leadership, morals and ethics that are promoted and advertised are only for those at the bottom of the pile, the soldiers, it is not there for those in prominent positions of authority, they do and encourage the opposite.  The process, and especially those heading it, is even more unfair than it ever was, this will be the downfall of the Armed Forces.  The former Ombudsman was a puppet to the Army and Defence Council, and her replacement is even-more-so.  These survey's are a complete waste of time - ten years of this complaints system demonstrates it flaws and deceitfulness; those within the system should take a good look at themselves in the mirror and ask themselves am I really that nasty a person.  Good Luck Ms Ombudsman - have you ever asked yourself why you, specifically, were chosen for the role you do?     "/>
    <s v="Yes"/>
    <s v="I wouldn't say my health was seriously affected, however, what I would say is that it has made me wiser to the fact that not everything is as it seems.  I thought the Ombudsman was a fair person, how wrong I was about that - dismissing evidence is not being fair, not explaining one's deliberations is not fair - not being honest is not fair - finally demonstrating one's own colours and true values made interesting reading.  One expects an Ombudsman to apply common sense, a sense of sensibility and compassion - however, she is not - she is a slave to the organisation to which she serves.  I feel sorry for her staff, her operations manager and those beneath her - they are the one's that you should observe for mental health concerns - allowing those to commit suicide through being bullied and not supporting that person against the bullies must be a tough burden to carry.  I would advise mental health counselling for the Ombudsman staff - I feel they are the one's most at risk.  I would hate to be in a job where my boss tells me to manipulate a process which effectively draws victims to their death or to live with being raped, knowing that the perpetrator is not going to be held to account or that the bully can go onto bully some more, to affect others the same. "/>
    <x v="5"/>
    <s v="Yes"/>
    <x v="3"/>
    <s v="No"/>
    <s v="Dissatisfied"/>
    <s v="-"/>
    <s v="-"/>
    <s v="-"/>
    <s v="-"/>
    <s v="-"/>
    <s v="-"/>
    <s v="-"/>
  </r>
  <r>
    <n v="171155566"/>
    <n v="53"/>
    <s v="185.13.50.219"/>
    <m/>
    <n v="44394"/>
    <n v="0.5673008449074074"/>
    <n v="44394"/>
    <n v="0.57871103009259262"/>
    <s v="Completed"/>
    <m/>
    <x v="1"/>
    <s v="-"/>
    <s v="-"/>
    <s v="-"/>
    <s v="-"/>
    <s v="-"/>
    <x v="2"/>
    <s v="Yes"/>
    <s v="No"/>
    <s v="No"/>
    <s v="No"/>
    <s v="Colleague or friend"/>
    <x v="3"/>
    <s v="No"/>
    <s v="No"/>
    <s v="Yes"/>
    <x v="1"/>
    <x v="2"/>
    <s v="-"/>
    <s v="-"/>
    <s v="-"/>
    <s v="Yes"/>
    <s v="Yes"/>
    <s v="Yes"/>
    <s v="No"/>
    <x v="0"/>
    <s v="The fact that this SC has been allowed to progress as far as it has (an Air Cmdre has now been appointed DB) is astonishing. The complainant has abused the SC system throughout his 24 year career, and even now he is looking for someone to blame for his lack of success. It appears that my time is now._x000a__x000a_Where is the process for thinning out lies and exaggeration? It is massively unfair."/>
    <s v="Yes"/>
    <s v="Being subject to a ridiculous, exaggerated and hugely fabricated complaint has had a negative impact on my mental health. I currently detached from my home Unit for six months. Here in the Falkland Islands, I cannot sleep, cannot concentrate fully on my role and feel totally disconnected._x000a__x000a_"/>
    <x v="1"/>
    <s v="-"/>
    <x v="6"/>
    <s v="No"/>
    <s v="Dissatisfied"/>
    <s v="-"/>
    <s v="-"/>
    <s v="-"/>
    <s v="-"/>
    <s v="-"/>
    <s v="-"/>
    <s v="-"/>
  </r>
  <r>
    <n v="171223796"/>
    <n v="54"/>
    <s v="92.40.201.63"/>
    <m/>
    <n v="44396"/>
    <n v="0.53153738425925923"/>
    <n v="44396"/>
    <n v="0.53312959490740741"/>
    <s v="Completed"/>
    <m/>
    <x v="1"/>
    <s v="-"/>
    <s v="-"/>
    <s v="-"/>
    <s v="-"/>
    <s v="-"/>
    <x v="2"/>
    <s v="No"/>
    <s v="No"/>
    <s v="No"/>
    <s v="No"/>
    <s v="Online search"/>
    <x v="2"/>
    <s v="No"/>
    <s v="No"/>
    <s v="No"/>
    <x v="1"/>
    <x v="0"/>
    <s v="-"/>
    <s v="-"/>
    <s v="-"/>
    <s v="-"/>
    <s v="-"/>
    <s v="-"/>
    <s v="-"/>
    <x v="0"/>
    <s v="-"/>
    <s v="-"/>
    <s v="-"/>
    <x v="0"/>
    <s v="-"/>
    <x v="0"/>
    <s v="-"/>
    <s v="-"/>
    <s v="-"/>
    <s v="British Army"/>
    <s v="Regular (inc. veteran and retired regulars)"/>
    <s v="Officer"/>
    <s v="40-49"/>
    <s v="Male"/>
    <s v="Prefer not to answer"/>
  </r>
  <r>
    <n v="171224078"/>
    <n v="55"/>
    <s v="92.11.116.150"/>
    <m/>
    <n v="44396"/>
    <n v="0.53388958333333336"/>
    <n v="44396"/>
    <n v="0.53700054398148145"/>
    <s v="Completed"/>
    <m/>
    <x v="1"/>
    <s v="-"/>
    <s v="-"/>
    <s v="-"/>
    <s v="-"/>
    <s v="-"/>
    <x v="2"/>
    <s v="Yes"/>
    <s v="No"/>
    <s v="No"/>
    <s v="No"/>
    <s v="Other"/>
    <x v="2"/>
    <s v="No"/>
    <s v="No"/>
    <s v="No"/>
    <x v="1"/>
    <x v="3"/>
    <s v="Yes"/>
    <s v="No"/>
    <s v="No"/>
    <s v="Yes"/>
    <s v="No"/>
    <s v="No"/>
    <s v="No"/>
    <x v="1"/>
    <s v="Lies and intimidating of witnesses "/>
    <s v="Yes"/>
    <s v="I have suffered from anxiety and depression caused by the incidents and compounded by the unfair complaints system "/>
    <x v="2"/>
    <s v="Yes"/>
    <x v="5"/>
    <s v="No"/>
    <s v="Dissatisfied"/>
    <s v="-"/>
    <s v="British Army"/>
    <s v="Regular (inc. veteran and retired regulars)"/>
    <s v="Non Commissioned Officers/Warrant Officers and equivalent rank"/>
    <s v="30-39"/>
    <s v="Male"/>
    <s v="White"/>
  </r>
  <r>
    <n v="171227343"/>
    <n v="56"/>
    <s v="95.145.236.15"/>
    <m/>
    <n v="44396"/>
    <n v="0.56150165509259253"/>
    <n v="44396"/>
    <n v="0.56382607638888882"/>
    <s v="Completed"/>
    <m/>
    <x v="1"/>
    <s v="-"/>
    <s v="-"/>
    <s v="-"/>
    <s v="-"/>
    <s v="-"/>
    <x v="2"/>
    <s v="No"/>
    <s v="No"/>
    <s v="No"/>
    <s v="No"/>
    <s v="Knowledge from a previous complaint"/>
    <x v="2"/>
    <s v="No"/>
    <s v="No"/>
    <s v="No"/>
    <x v="1"/>
    <x v="2"/>
    <s v="No"/>
    <s v="Yes"/>
    <s v="No"/>
    <s v="Yes"/>
    <s v="Yes"/>
    <s v="No"/>
    <s v="No"/>
    <x v="2"/>
    <s v="-"/>
    <s v="Yes"/>
    <s v="-"/>
    <x v="2"/>
    <s v="Yes"/>
    <x v="5"/>
    <s v="No"/>
    <s v="Dissatisfied"/>
    <s v="-"/>
    <s v="British Army"/>
    <s v="Regular (inc. veteran and retired regulars)"/>
    <s v="Officer"/>
    <s v="30-39"/>
    <s v="Male"/>
    <s v="White"/>
  </r>
  <r>
    <n v="171231435"/>
    <n v="57"/>
    <s v="84.93.27.61"/>
    <m/>
    <n v="44396"/>
    <n v="0.57691832175925928"/>
    <n v="44396"/>
    <n v="0.57905119212962963"/>
    <s v="Completed"/>
    <m/>
    <x v="1"/>
    <s v="-"/>
    <s v="-"/>
    <s v="-"/>
    <s v="-"/>
    <s v="-"/>
    <x v="0"/>
    <s v="Yes"/>
    <s v="No"/>
    <s v="No"/>
    <s v="No"/>
    <s v="Training"/>
    <x v="0"/>
    <s v="No"/>
    <s v="I don't know/ I prefer not to say"/>
    <s v="No"/>
    <x v="0"/>
    <x v="1"/>
    <s v="-"/>
    <s v="-"/>
    <s v="-"/>
    <s v="-"/>
    <s v="-"/>
    <s v="-"/>
    <s v="-"/>
    <x v="0"/>
    <s v="-"/>
    <s v="-"/>
    <s v="-"/>
    <x v="0"/>
    <s v="-"/>
    <x v="0"/>
    <s v="-"/>
    <s v="-"/>
    <s v="-"/>
    <s v="British Army"/>
    <s v="Regular (inc. veteran and retired regulars)"/>
    <s v="Officer"/>
    <s v="40-49"/>
    <s v="Female"/>
    <s v="White"/>
  </r>
  <r>
    <n v="171241058"/>
    <n v="58"/>
    <s v="86.7.206.216"/>
    <m/>
    <n v="44396"/>
    <n v="0.62886165509259262"/>
    <n v="44396"/>
    <n v="0.6337712152777778"/>
    <s v="Completed"/>
    <m/>
    <x v="1"/>
    <s v="-"/>
    <s v="-"/>
    <s v="-"/>
    <s v="-"/>
    <s v="-"/>
    <x v="5"/>
    <s v="No"/>
    <s v="No"/>
    <s v="Yes"/>
    <s v="No"/>
    <s v="Online search"/>
    <x v="2"/>
    <s v="Yes"/>
    <s v="Yes"/>
    <s v="No"/>
    <x v="0"/>
    <x v="3"/>
    <s v="No"/>
    <s v="Yes"/>
    <s v="Yes"/>
    <s v="Yes"/>
    <s v="No"/>
    <s v="No"/>
    <s v="Yes"/>
    <x v="2"/>
    <s v="It was not fair or impartial.  It was decided on opinion despite the evidence which proved the opinion to be wrong."/>
    <s v="Yes"/>
    <s v="It took 2 years and 3 months.  I suffered a head injury and have depression.  The length of time taken caused a huge additional amount of psychological distress."/>
    <x v="3"/>
    <s v="No"/>
    <x v="1"/>
    <s v="No"/>
    <s v="Dissatisfied"/>
    <s v="-"/>
    <s v="-"/>
    <s v="-"/>
    <s v="-"/>
    <s v="-"/>
    <s v="-"/>
    <s v="-"/>
  </r>
  <r>
    <n v="171255577"/>
    <n v="59"/>
    <s v="95.145.242.252"/>
    <m/>
    <n v="44396"/>
    <n v="0.7382826388888889"/>
    <n v="44396"/>
    <n v="0.73945115740740741"/>
    <s v="Completed"/>
    <m/>
    <x v="1"/>
    <s v="-"/>
    <s v="-"/>
    <s v="-"/>
    <s v="-"/>
    <s v="-"/>
    <x v="4"/>
    <s v="No"/>
    <s v="No"/>
    <s v="No"/>
    <s v="No"/>
    <s v="Chain of command"/>
    <x v="2"/>
    <s v="No"/>
    <s v="No"/>
    <s v="No"/>
    <x v="1"/>
    <x v="1"/>
    <s v="-"/>
    <s v="-"/>
    <s v="-"/>
    <s v="-"/>
    <s v="-"/>
    <s v="-"/>
    <s v="-"/>
    <x v="0"/>
    <s v="-"/>
    <s v="-"/>
    <s v="-"/>
    <x v="0"/>
    <s v="-"/>
    <x v="0"/>
    <s v="-"/>
    <s v="-"/>
    <s v="-"/>
    <s v="British Army"/>
    <s v="Regular (inc. veteran and retired regulars)"/>
    <s v="Officer"/>
    <s v="40-49"/>
    <s v="Male"/>
    <s v="White"/>
  </r>
  <r>
    <n v="171258982"/>
    <n v="60"/>
    <s v="82.36.207.137"/>
    <m/>
    <n v="44396"/>
    <n v="0.78097774305555545"/>
    <n v="44396"/>
    <n v="0.78312237268518514"/>
    <s v="Completed"/>
    <m/>
    <x v="1"/>
    <s v="-"/>
    <s v="-"/>
    <s v="-"/>
    <s v="-"/>
    <s v="-"/>
    <x v="4"/>
    <s v="No"/>
    <s v="No"/>
    <s v="Yes"/>
    <s v="No"/>
    <s v="Online search"/>
    <x v="2"/>
    <s v="No"/>
    <s v="No"/>
    <s v="No"/>
    <x v="1"/>
    <x v="3"/>
    <s v="Yes"/>
    <s v="No"/>
    <s v="No"/>
    <s v="No"/>
    <s v="I don't know / Prefer not to say"/>
    <s v="No"/>
    <s v="No"/>
    <x v="1"/>
    <s v="-"/>
    <s v="Yes"/>
    <s v="Suicidal"/>
    <x v="3"/>
    <s v="Yes"/>
    <x v="6"/>
    <s v="No"/>
    <s v="Dissatisfied"/>
    <s v="-"/>
    <s v="-"/>
    <s v="-"/>
    <s v="-"/>
    <s v="-"/>
    <s v="-"/>
    <s v="-"/>
  </r>
  <r>
    <n v="171259572"/>
    <n v="61"/>
    <s v="94.5.83.88"/>
    <m/>
    <n v="44396"/>
    <n v="0.78916871527777788"/>
    <n v="44396"/>
    <n v="0.79934672453703703"/>
    <s v="Completed"/>
    <m/>
    <x v="1"/>
    <s v="-"/>
    <s v="-"/>
    <s v="-"/>
    <s v="-"/>
    <s v="-"/>
    <x v="2"/>
    <s v="No"/>
    <s v="No"/>
    <s v="No"/>
    <s v="Yes"/>
    <s v="Online search"/>
    <x v="2"/>
    <s v="No"/>
    <s v="No"/>
    <s v="No"/>
    <x v="2"/>
    <x v="3"/>
    <s v="No"/>
    <s v="No"/>
    <s v="No"/>
    <s v="Yes"/>
    <s v="No"/>
    <s v="No"/>
    <s v="No"/>
    <x v="1"/>
    <s v="Policy wasn't followed, there was undue delay and the SCO has no autonomy over the service and their findings. "/>
    <s v="Yes"/>
    <s v="I have under went community mental heath treatment. And I am currently on medication Dail. This has been due to a failed flawed, investigation and under delay. Whereby the SCO couldn't do anything."/>
    <x v="2"/>
    <s v="No"/>
    <x v="5"/>
    <s v="No"/>
    <s v="Dissatisfied"/>
    <s v="-"/>
    <s v="British Army"/>
    <s v="Regular (inc. veteran and retired regulars)"/>
    <s v="Non Commissioned Officers/Warrant Officers and equivalent rank"/>
    <s v="40-49"/>
    <s v="Male"/>
    <s v="White"/>
  </r>
  <r>
    <n v="171265568"/>
    <n v="62"/>
    <s v="82.28.251.15"/>
    <m/>
    <n v="44396"/>
    <n v="0.88363811342592591"/>
    <n v="44396"/>
    <n v="0.88564355324074073"/>
    <s v="Completed"/>
    <m/>
    <x v="1"/>
    <s v="-"/>
    <s v="-"/>
    <s v="-"/>
    <s v="-"/>
    <s v="-"/>
    <x v="2"/>
    <s v="No"/>
    <s v="No"/>
    <s v="No"/>
    <s v="Yes"/>
    <s v="Other"/>
    <x v="2"/>
    <s v="No"/>
    <s v="No"/>
    <s v="No"/>
    <x v="1"/>
    <x v="3"/>
    <s v="I don't know / Prefer not to say"/>
    <s v="No"/>
    <s v="No"/>
    <s v="No"/>
    <s v="I don't know / Prefer not to say"/>
    <s v="No"/>
    <s v="No"/>
    <x v="1"/>
    <s v="-"/>
    <s v="No"/>
    <s v="-"/>
    <x v="2"/>
    <s v="I don't know / Prefer not to say/ I am not the complainant"/>
    <x v="3"/>
    <s v="No"/>
    <s v="Dissatisfied"/>
    <s v="-"/>
    <s v="-"/>
    <s v="-"/>
    <s v="-"/>
    <s v="-"/>
    <s v="-"/>
    <s v="-"/>
  </r>
  <r>
    <n v="171263091"/>
    <n v="63"/>
    <s v="2a02:c7f:b91b:a700:f060:3bc7:acf7:532a"/>
    <m/>
    <n v="44396"/>
    <n v="0.8417475694444444"/>
    <n v="44396"/>
    <n v="0.90535146990740734"/>
    <s v="Completed"/>
    <m/>
    <x v="0"/>
    <s v="Colleague or friend"/>
    <s v="Yes"/>
    <s v="Yes"/>
    <s v="Yes"/>
    <s v="No"/>
    <x v="2"/>
    <s v="No"/>
    <s v="Yes"/>
    <s v="No"/>
    <s v="No"/>
    <s v="Colleague or friend"/>
    <x v="3"/>
    <s v="No"/>
    <s v="No"/>
    <s v="No"/>
    <x v="1"/>
    <x v="3"/>
    <s v="No"/>
    <s v="No"/>
    <s v="No"/>
    <s v="No"/>
    <s v="Yes"/>
    <s v="No"/>
    <s v="No"/>
    <x v="1"/>
    <s v="From the offset, the Deciding Officer - appointed by Service Complaint Wing at Upavon (a Brigadier (appointed as my de-facto Commanding Officer), failed to grant me an Initial Interview; this could have been due to the fact he was already the Deciding Officer for a SC against me, which was clearly a conflict of interest. _x000a__x000a_Whilst dealing with my SC, he stated the other case had no bearing on his decision in my case, yet referred to my SC when submitting his deliberations!_x000a__x000a_The MoD (Army) dragged my case on for over 7.5 years, waiting for my discharge which - I believe - was a deliberate act, in the hope I would withdraw my SC._x000a__x000a_Having attended a three day Oral Hearing (OH), which was originally planned to be five days, the MoD arranged a second OH which, despite their own handout stating the Army Legal Services (ALS)  representative was only in attendance “to provide legal advice”, it was the DIrector ALS (DALS) who ran both OH’s, with the Chairman merely being a bit-partnolayer; as the Chairman and the other military member of the OH we’re both Brigadiers, they were always highly unlikely to criticise a fellow Brigadier (the DO), or a Major General (the appointed SO), and even less so DALS herself, as she was a Major General, where the Chairman and member were both subservient to her in rank and status._x000a__x000a_Despite my presenting a substantial amount of factual evidence pre and post OH’s, the Board saw fit to accuse me of causing my own downfall - why in earth would I bring on and welcome bullying and harassment,  particularly as the (proven) acute stress, acute anxiety and depression caused me to suffer with Atrial Fibrillation and PTSD (confirmed by my GP in evidence to the OH (and ignored by the Board) - where all I was guilty of was to follow the British Army’s Values &amp; Standards, and uphold the standards expected of a Captain / Adjutant in a Phase 1 Recruit training establishment._x000a__x000a_At every stage of my SC the Army caused delay, and were found guilty as such by your office, where I was granted £500 net, which was altered - within 24 hours - to £500 gross._x000a__x000a_Despite providing irrefutable evidence at every stage of my SC (DO, SO and Army Board (AB)), the final outcome was for the AB to admit I had been bullied, where they confirmed I had already been awarded the aforementioned £500 - which was awarded for the ‘Undue Delay’ in my SC - and that was a sufficient award in my case; no consideration was given to my legal fees (£5,000), the stress, anxiety and depression experienced over 7.5 years, the AF and PTSD suffered since, - I am now confirmed as having AF for life - and this despite oral evidence presented to the AB by a RAF Squadron Leader psychiatric nurse (from the Department of Clinical Mental Health (DCMH)),  and an Occupational Health nurse; an Army Major - the AB, who were unqualified to ignore factual clinical evidence from medical experts, did so._x000a__x000a_As my SC was for bullying and harassment against my Commanding Officer (CO (who I proved beyond any reasonable doubt was having a solicitous affair with an Officer Cadet, and committing fraud)), my Training Major (TM) who was also committing fraud (and had to repay The Crown £3,800), and my married Regimental Sergeant Major (RSM), who was also having an affair with the same female as my CO, my SC proved to be highly embarrassing to the Chain of Command, who went to great lengths to silence me, with verbal threats made to me, witnessed by my Assisting Officer._x000a__x000a_In addition to all of the above, there was a string of incidents involving inappropriate relationships, fraud, misuse of military vehicles and misuse of a military fuel card - all proven and well known to my DO, SO and the AB (I had over 27 lever arch files of evidence) yet the AB chose to ignore it; there’s a pattern forming here._x000a__x000a_Although the aforementioned CO and TM served in the TA - and claimed over 150 days TA pay per annum - both individuals refused to attend either OH, thereby preventing me from presenting my irrefutable evidence, and questioning them at the OH, in front of the Army Board; was this a deliberate act by the MoD, to weaken my Complaint?_x000a__x000a_Although my case ended some four years ago, I am still £5,000 out of pocket, I now have AF for life, I still suffer anxiety and stress attacks and - despite causing my illnesses - the Army has thrown me to the lions, and cares not one jot as to my health or wellbeing since my discharge._x000a__x000a_I have long been of the opinion that as long as your office are in the employ of the MoD - and not totally independent - the MoD will continue to cover up such Complaints as mine, and hide behind the veil of secrecy within the halls of Whitehall._x000a__x000a_I did request a face-to-face interview with the previous Ombudsman, but was refused. In these legal days where , if an individual is proven to have won their Complaint, the guilty party are duty bound to refund legal costs, and also to pay towards medical issues caused by his / her Complaint; the MoD seem to be excused this rule of law._x000a__x000a_I would still like to have a face-to-face meeting with the Ombudsman, and forever live in hope, but I will not hold my breath."/>
    <s v="Yes"/>
    <s v="I suffered with - proven - ‘Acute Stress’, Acute Anxiety’, ‘Depresion’, PTSD, and following a ‘blue light’ emergency, I was diagnosed with AF; all known to the Army Board, supported by written and verbal evidence - documents held by the MoD (Army) at Andover."/>
    <x v="1"/>
    <s v="No"/>
    <x v="5"/>
    <s v="No"/>
    <s v="Dissatisfied"/>
    <s v="-"/>
    <s v="British Army"/>
    <s v="Reservist (inc. veteran and retired reservist)"/>
    <s v="Officer"/>
    <s v="50+"/>
    <s v="Male"/>
    <s v="White"/>
  </r>
  <r>
    <n v="171271792"/>
    <n v="64"/>
    <s v="2a01:4c8:67:2e3e:1:2:cb01:5ad7"/>
    <m/>
    <n v="44397"/>
    <n v="0.25288819444444444"/>
    <n v="44397"/>
    <n v="0.25764927083333333"/>
    <s v="Completed"/>
    <m/>
    <x v="1"/>
    <s v="-"/>
    <s v="-"/>
    <s v="-"/>
    <s v="-"/>
    <s v="-"/>
    <x v="0"/>
    <s v="Yes"/>
    <s v="Yes"/>
    <s v="Yes"/>
    <s v="No"/>
    <s v="Online search"/>
    <x v="2"/>
    <s v="No"/>
    <s v="No"/>
    <s v="No"/>
    <x v="1"/>
    <x v="3"/>
    <s v="Yes"/>
    <s v="No"/>
    <s v="No"/>
    <s v="Yes"/>
    <s v="No"/>
    <s v="No"/>
    <s v="No"/>
    <x v="1"/>
    <s v="Long delays, inappropriate deciding office, paperwork lost. Key witnesses not interviwed. Very poor updates, too much legal jargon. Deeply damaging system."/>
    <s v="Yes"/>
    <s v="Well-being was lost by this degrading, one-sided system. My family also suffered as I suffered. It was obvious that SC team just wanted me to go away."/>
    <x v="2"/>
    <s v="Yes"/>
    <x v="5"/>
    <s v="No"/>
    <s v="Dissatisfied"/>
    <s v="-"/>
    <s v="British Army"/>
    <s v="Reservist (inc. veteran and retired reservist)"/>
    <s v="Officer"/>
    <s v="50+"/>
    <s v="Female"/>
    <s v="White"/>
  </r>
  <r>
    <n v="171271986"/>
    <n v="65"/>
    <s v="149.22.10.239"/>
    <m/>
    <n v="44397"/>
    <n v="0.26504968749999996"/>
    <n v="44397"/>
    <n v="0.2684861921296296"/>
    <s v="Completed"/>
    <m/>
    <x v="1"/>
    <s v="-"/>
    <s v="-"/>
    <s v="-"/>
    <s v="-"/>
    <s v="-"/>
    <x v="2"/>
    <s v="No"/>
    <s v="No"/>
    <s v="No"/>
    <s v="No"/>
    <s v="Other"/>
    <x v="2"/>
    <s v="No"/>
    <s v="No"/>
    <s v="No"/>
    <x v="1"/>
    <x v="3"/>
    <s v="Yes"/>
    <s v="No"/>
    <s v="No"/>
    <s v="Yes"/>
    <s v="No"/>
    <s v="No"/>
    <s v="No"/>
    <x v="1"/>
    <s v="Yes_x000a_Threatening emails_x000a_Confidentially breaches_x000a_Pressure to withdraw my complaint_x000a_Career halted- evidence in writing_x000a_Punished for having an SC in_x000a_"/>
    <s v="Yes"/>
    <s v="I am now being medically withdrawn due to the stress and trauma caused by the incidents and then the SC process_x000a__x000a_No support, made to feel like an awful person "/>
    <x v="2"/>
    <s v="Yes"/>
    <x v="6"/>
    <s v="No"/>
    <s v="Dissatisfied"/>
    <s v="-"/>
    <s v="-"/>
    <s v="-"/>
    <s v="-"/>
    <s v="-"/>
    <s v="-"/>
    <s v="-"/>
  </r>
  <r>
    <n v="171272087"/>
    <n v="66"/>
    <s v="77.44.117.239"/>
    <m/>
    <n v="44397"/>
    <n v="0.26977450231481481"/>
    <n v="44397"/>
    <n v="0.27257337962962963"/>
    <s v="Completed"/>
    <m/>
    <x v="1"/>
    <s v="-"/>
    <s v="-"/>
    <s v="-"/>
    <s v="-"/>
    <s v="-"/>
    <x v="4"/>
    <s v="No"/>
    <s v="No"/>
    <s v="No"/>
    <s v="No"/>
    <s v="Chain of command"/>
    <x v="2"/>
    <s v="No"/>
    <s v="No"/>
    <s v="No"/>
    <x v="1"/>
    <x v="3"/>
    <s v="Yes"/>
    <s v="No"/>
    <s v="No"/>
    <s v="Yes"/>
    <s v="No"/>
    <s v="No"/>
    <s v="No"/>
    <x v="1"/>
    <s v="-"/>
    <s v="Yes"/>
    <s v="Huge MH impact regarding betrayal "/>
    <x v="2"/>
    <s v="Yes"/>
    <x v="4"/>
    <s v="No"/>
    <s v="Dissatisfied"/>
    <s v="-"/>
    <s v="-"/>
    <s v="-"/>
    <s v="-"/>
    <s v="-"/>
    <s v="-"/>
    <s v="-"/>
  </r>
  <r>
    <n v="171275777"/>
    <n v="67"/>
    <s v="95.147.242.142"/>
    <m/>
    <n v="44397"/>
    <n v="0.35344806712962962"/>
    <n v="44397"/>
    <n v="0.35615593750000002"/>
    <s v="Completed"/>
    <m/>
    <x v="0"/>
    <s v="Other"/>
    <s v="I didn't know SCOAF existed/ I prefer not to say"/>
    <s v="No"/>
    <s v="No"/>
    <s v="No"/>
    <x v="2"/>
    <s v="No"/>
    <s v="No"/>
    <s v="No"/>
    <s v="No"/>
    <s v="Online search"/>
    <x v="2"/>
    <s v="No"/>
    <s v="No"/>
    <s v="No"/>
    <x v="1"/>
    <x v="3"/>
    <s v="Yes"/>
    <s v="No"/>
    <s v="No"/>
    <s v="Yes"/>
    <s v="Yes"/>
    <s v="No"/>
    <s v="No"/>
    <x v="1"/>
    <s v="-"/>
    <s v="Yes"/>
    <s v="-"/>
    <x v="2"/>
    <s v="Yes"/>
    <x v="3"/>
    <s v="No"/>
    <s v="Dissatisfied"/>
    <s v="-"/>
    <s v="-"/>
    <s v="-"/>
    <s v="-"/>
    <s v="-"/>
    <s v="-"/>
    <s v="-"/>
  </r>
  <r>
    <n v="171276011"/>
    <n v="68"/>
    <s v="82.132.229.255"/>
    <m/>
    <n v="44397"/>
    <n v="0.34430362268518522"/>
    <n v="44397"/>
    <n v="0.35772604166666672"/>
    <s v="Completed"/>
    <m/>
    <x v="1"/>
    <s v="-"/>
    <s v="-"/>
    <s v="-"/>
    <s v="-"/>
    <s v="-"/>
    <x v="2"/>
    <s v="No"/>
    <s v="No"/>
    <s v="No"/>
    <s v="No"/>
    <s v="Colleague or friend"/>
    <x v="2"/>
    <s v="No"/>
    <s v="No"/>
    <s v="No"/>
    <x v="1"/>
    <x v="2"/>
    <s v="-"/>
    <s v="-"/>
    <s v="-"/>
    <s v="-"/>
    <s v="-"/>
    <s v="-"/>
    <s v="-"/>
    <x v="0"/>
    <s v="The process wasn't followed, there were significant delays caused by the complainant which weren't explained to me. I wasn't interviewed, a co respondent was removed from the process. As a result I have made an employment tribunal claim. "/>
    <s v="Yes"/>
    <s v="I have had to start taking anxiety and sleeping medication. "/>
    <x v="3"/>
    <s v="-"/>
    <x v="4"/>
    <s v="-"/>
    <s v="Dissatisfied"/>
    <s v="-"/>
    <s v="-"/>
    <s v="-"/>
    <s v="-"/>
    <s v="-"/>
    <s v="-"/>
    <s v="-"/>
  </r>
  <r>
    <n v="171275153"/>
    <n v="69"/>
    <s v="2a00:23c5:e607:af00:3094:c398:7c1:4e4a"/>
    <m/>
    <n v="44397"/>
    <n v="0.34516883101851853"/>
    <n v="44397"/>
    <n v="0.37072627314814816"/>
    <s v="Completed"/>
    <m/>
    <x v="1"/>
    <s v="-"/>
    <s v="-"/>
    <s v="-"/>
    <s v="-"/>
    <s v="-"/>
    <x v="2"/>
    <s v="No"/>
    <s v="No"/>
    <s v="No"/>
    <s v="Yes"/>
    <s v="Online search"/>
    <x v="2"/>
    <s v="No"/>
    <s v="No"/>
    <s v="No"/>
    <x v="1"/>
    <x v="2"/>
    <s v="-"/>
    <s v="-"/>
    <s v="No"/>
    <s v="Yes"/>
    <s v="Yes"/>
    <s v="No"/>
    <s v="No"/>
    <x v="0"/>
    <s v="The complaint was regarding an OJAR and I was being questioned about bullying and harassment, yet I was not allowed to introduce any witnesses or additional evidence, because the complaint was essentially about an OJAR. The SC was deemed admissible 1 year after the OJAR was received. The Complainant did not try to resolve the issues at the time and then alleged her Mental Health was so poor that she could not submit a SC within the timeframe. Despite this, she has actually produced no evidence of bullying and harassment yet I am still part of an appeals process. In addition, for the most part I was sick at home after being diagnosed with a life-changing chronic illness yet I was not afforded the same level of sympathy and was expected to not only participate but to meet all timelines.  I have made a number of representations about the parity in this SC, including writing to SCOAF, who basically said I could write my own SC. As if I would want to subject myself to such an unbalanced, ineffective, time-consuming process which cannot change the negative effect that this SC and appeal has already had on my health. "/>
    <s v="Yes"/>
    <s v="I have been diagnosed with a life-changing chronic illness a few months before I was involved in this SC. It has caused physical and mental issues, to the point where my GP wrote to the DO about the effect it had on me. "/>
    <x v="1"/>
    <s v="-"/>
    <x v="1"/>
    <s v="-"/>
    <s v="Dissatisfied"/>
    <s v="-"/>
    <s v="-"/>
    <s v="-"/>
    <s v="-"/>
    <s v="-"/>
    <s v="-"/>
    <s v="-"/>
  </r>
  <r>
    <n v="171297197"/>
    <n v="70"/>
    <s v="185.13.50.178"/>
    <m/>
    <n v="44397"/>
    <n v="0.52107677083333337"/>
    <n v="44397"/>
    <n v="0.53842688657407412"/>
    <s v="Completed"/>
    <m/>
    <x v="1"/>
    <s v="-"/>
    <s v="-"/>
    <s v="-"/>
    <s v="-"/>
    <s v="-"/>
    <x v="4"/>
    <s v="No"/>
    <s v="No"/>
    <s v="No"/>
    <s v="Yes"/>
    <s v="Training"/>
    <x v="0"/>
    <s v="Yes"/>
    <s v="No"/>
    <s v="Yes"/>
    <x v="0"/>
    <x v="0"/>
    <s v="-"/>
    <s v="-"/>
    <s v="-"/>
    <s v="-"/>
    <s v="-"/>
    <s v="-"/>
    <s v="-"/>
    <x v="0"/>
    <s v="-"/>
    <s v="-"/>
    <s v="-"/>
    <x v="0"/>
    <s v="-"/>
    <x v="0"/>
    <s v="-"/>
    <s v="-"/>
    <s v="-"/>
    <s v="British Army"/>
    <s v="Regular (inc. veteran and retired regulars)"/>
    <s v="Officer"/>
    <s v="30-39"/>
    <s v="Male"/>
    <s v="White"/>
  </r>
  <r>
    <n v="171304879"/>
    <n v="71"/>
    <s v="2a01:4c8:82a:427a:846d:4c1b:eff0:10f5"/>
    <m/>
    <n v="44397"/>
    <n v="0.58017445601851858"/>
    <n v="44397"/>
    <n v="0.58368561342592595"/>
    <s v="Completed"/>
    <m/>
    <x v="1"/>
    <s v="-"/>
    <s v="-"/>
    <s v="-"/>
    <s v="-"/>
    <s v="-"/>
    <x v="2"/>
    <s v="Yes"/>
    <s v="No"/>
    <s v="No"/>
    <s v="No"/>
    <s v="Knowledge from a previous complaint"/>
    <x v="3"/>
    <s v="No"/>
    <s v="No"/>
    <s v="No"/>
    <x v="1"/>
    <x v="3"/>
    <s v="Yes"/>
    <s v="No"/>
    <s v="No"/>
    <s v="Yes"/>
    <s v="No"/>
    <s v="No"/>
    <s v="No"/>
    <x v="1"/>
    <s v="Unlawful use of data protection.  Intimidating and frightening behaviour.  Actual career consequences "/>
    <s v="Yes"/>
    <s v="I experienced an illness correlating to extreme stress. "/>
    <x v="3"/>
    <s v="No"/>
    <x v="3"/>
    <s v="No"/>
    <s v="Dissatisfied"/>
    <s v="-"/>
    <s v="-"/>
    <s v="-"/>
    <s v="-"/>
    <s v="-"/>
    <s v="-"/>
    <s v="-"/>
  </r>
  <r>
    <n v="171323460"/>
    <n v="72"/>
    <s v="90.253.176.246"/>
    <m/>
    <n v="44397"/>
    <n v="0.68156253472222217"/>
    <n v="44397"/>
    <n v="0.68293186342592593"/>
    <s v="Completed"/>
    <m/>
    <x v="1"/>
    <s v="-"/>
    <s v="-"/>
    <s v="-"/>
    <s v="-"/>
    <s v="-"/>
    <x v="4"/>
    <s v="Yes"/>
    <s v="No"/>
    <s v="Yes"/>
    <s v="No"/>
    <s v="Other"/>
    <x v="2"/>
    <s v="No"/>
    <s v="No"/>
    <s v="I don't think this applies to me/ I prefer not to say"/>
    <x v="1"/>
    <x v="1"/>
    <s v="-"/>
    <s v="-"/>
    <s v="-"/>
    <s v="-"/>
    <s v="-"/>
    <s v="-"/>
    <s v="-"/>
    <x v="0"/>
    <s v="-"/>
    <s v="-"/>
    <s v="-"/>
    <x v="0"/>
    <s v="-"/>
    <x v="0"/>
    <s v="-"/>
    <s v="-"/>
    <s v="-"/>
    <s v="Royal Navy"/>
    <s v="Regular (inc. veteran and retired regulars)"/>
    <s v="Officer"/>
    <s v="50+"/>
    <s v="Male"/>
    <s v="White"/>
  </r>
  <r>
    <n v="171336420"/>
    <n v="73"/>
    <s v="85.255.233.23"/>
    <m/>
    <n v="44397"/>
    <n v="0.83796751157407412"/>
    <n v="44397"/>
    <n v="0.8400085648148149"/>
    <s v="Completed"/>
    <m/>
    <x v="1"/>
    <s v="-"/>
    <s v="-"/>
    <s v="-"/>
    <s v="-"/>
    <s v="-"/>
    <x v="2"/>
    <s v="No"/>
    <s v="No"/>
    <s v="No"/>
    <s v="No"/>
    <s v="Other"/>
    <x v="2"/>
    <s v="No"/>
    <s v="No"/>
    <s v="No"/>
    <x v="1"/>
    <x v="2"/>
    <s v="-"/>
    <s v="-"/>
    <s v="Yes"/>
    <s v="Yes"/>
    <s v="Yes"/>
    <s v="No"/>
    <s v="No"/>
    <x v="0"/>
    <s v="-"/>
    <s v="Yes"/>
    <s v="The whole process is heavily weighted in the complainants favour and the stress it causes the respondents who are treated as guilty until proven innocent, is entirely ignored"/>
    <x v="5"/>
    <s v="-"/>
    <x v="5"/>
    <s v="No"/>
    <s v="Dissatisfied"/>
    <s v="-"/>
    <s v="British Army"/>
    <s v="-"/>
    <s v="-"/>
    <s v="30-39"/>
    <s v="Female"/>
    <s v="White"/>
  </r>
  <r>
    <n v="171435225"/>
    <n v="74"/>
    <s v="90.217.191.180"/>
    <m/>
    <n v="44399"/>
    <n v="0.50649684027777775"/>
    <n v="44399"/>
    <n v="0.50990266203703705"/>
    <s v="Completed"/>
    <m/>
    <x v="0"/>
    <s v="Chain of Command"/>
    <s v="Yes"/>
    <s v="Yes"/>
    <s v="Yes"/>
    <s v="No"/>
    <x v="4"/>
    <s v="Yes"/>
    <s v="Yes"/>
    <s v="Yes"/>
    <s v="No"/>
    <s v="Chain of command"/>
    <x v="3"/>
    <s v="No"/>
    <s v="No"/>
    <s v="No"/>
    <x v="2"/>
    <x v="0"/>
    <s v="-"/>
    <s v="-"/>
    <s v="-"/>
    <s v="-"/>
    <s v="-"/>
    <s v="-"/>
    <s v="-"/>
    <x v="0"/>
    <s v="-"/>
    <s v="-"/>
    <s v="-"/>
    <x v="0"/>
    <s v="-"/>
    <x v="0"/>
    <s v="-"/>
    <s v="-"/>
    <s v="-"/>
    <s v="British Army"/>
    <s v="Regular (inc. veteran and retired regulars)"/>
    <s v="Officer"/>
    <s v="40-49"/>
    <s v="Male"/>
    <s v="White"/>
  </r>
  <r>
    <n v="171466781"/>
    <n v="75"/>
    <s v="90.217.191.180"/>
    <m/>
    <n v="44399"/>
    <n v="0.5032786226851852"/>
    <n v="44399"/>
    <n v="0.840111574074074"/>
    <s v="Completed"/>
    <m/>
    <x v="1"/>
    <s v="-"/>
    <s v="-"/>
    <s v="-"/>
    <s v="-"/>
    <s v="-"/>
    <x v="4"/>
    <s v="No"/>
    <s v="No"/>
    <s v="Yes"/>
    <s v="No"/>
    <s v="Knowledge from a previous complaint"/>
    <x v="2"/>
    <s v="No"/>
    <s v="No"/>
    <s v="No"/>
    <x v="1"/>
    <x v="2"/>
    <s v="-"/>
    <s v="-"/>
    <s v="Yes"/>
    <s v="Yes"/>
    <s v="Yes"/>
    <s v="No"/>
    <s v="No"/>
    <x v="0"/>
    <s v="Very protracted and complainant allowed to constantly change parameters of original complaint and be abusive to the point if harassing (akin to parliamentary privilege where can say what they want regardless of proof or any norms of decent behaviour). Those managing the complaint (Army) did so atrociously further added to an already protracted process  - 3yrs in and still no closer to resolution, but mental and physical health of numerous people detrimentally affected. So far all for nothing positive as every complaint has been not upheld, but still they keep coming."/>
    <s v="Yes"/>
    <s v="3years if unsubstantiated allegations, personal attacks on myself and my family, and vile abuse takes its toll. Not one of the complaints has been upheld yet complainant has been allowed to keep adding and changing parameters."/>
    <x v="1"/>
    <s v="-"/>
    <x v="6"/>
    <s v="No"/>
    <s v="Dissatisfied"/>
    <s v="-"/>
    <s v="-"/>
    <s v="-"/>
    <s v="-"/>
    <s v="-"/>
    <s v="-"/>
    <s v="-"/>
  </r>
  <r>
    <n v="171555172"/>
    <n v="76"/>
    <s v="95.147.170.165"/>
    <m/>
    <n v="44402"/>
    <n v="0.3802114236111111"/>
    <n v="44402"/>
    <n v="0.38144293981481486"/>
    <s v="Completed"/>
    <m/>
    <x v="1"/>
    <s v="-"/>
    <s v="-"/>
    <s v="-"/>
    <s v="-"/>
    <s v="-"/>
    <x v="2"/>
    <s v="Yes"/>
    <s v="Yes"/>
    <s v="No"/>
    <s v="No"/>
    <s v="Training"/>
    <x v="3"/>
    <s v="No"/>
    <s v="No"/>
    <s v="No"/>
    <x v="1"/>
    <x v="0"/>
    <s v="-"/>
    <s v="-"/>
    <s v="-"/>
    <s v="-"/>
    <s v="-"/>
    <s v="-"/>
    <s v="-"/>
    <x v="0"/>
    <s v="-"/>
    <s v="-"/>
    <s v="-"/>
    <x v="0"/>
    <s v="-"/>
    <x v="0"/>
    <s v="-"/>
    <s v="-"/>
    <s v="-"/>
    <s v="Royal Air Force"/>
    <s v="Regular (inc. veteran and retired regulars)"/>
    <s v="Non Commissioned Officers/Warrant Officers and equivalent rank"/>
    <s v="30-39"/>
    <s v="Male"/>
    <s v="White"/>
  </r>
  <r>
    <n v="171744593"/>
    <n v="77"/>
    <s v="2.25.196.178"/>
    <m/>
    <n v="44405"/>
    <n v="0.53677083333333331"/>
    <n v="44405"/>
    <n v="0.53957121527777774"/>
    <s v="Completed"/>
    <m/>
    <x v="1"/>
    <s v="-"/>
    <s v="-"/>
    <s v="-"/>
    <s v="-"/>
    <s v="-"/>
    <x v="4"/>
    <s v="Yes"/>
    <s v="No"/>
    <s v="Yes"/>
    <s v="No"/>
    <s v="Colleague or friend"/>
    <x v="2"/>
    <s v="No"/>
    <s v="I don't know/ I prefer not to say"/>
    <s v="Yes"/>
    <x v="2"/>
    <x v="3"/>
    <s v="Yes"/>
    <s v="Yes"/>
    <s v="Yes"/>
    <s v="Yes"/>
    <s v="Yes"/>
    <s v="No"/>
    <s v="No"/>
    <x v="3"/>
    <s v="The unit HR staff tried to make the problem go away without any investigation or formal process. "/>
    <s v="No"/>
    <s v="The length of time to make my complaint admissible (2years 11 months) was detrimental to my mental health. "/>
    <x v="5"/>
    <s v="Yes"/>
    <x v="6"/>
    <s v="I don't know / Prefer not to say"/>
    <s v="Neutral"/>
    <s v="-"/>
    <s v="-"/>
    <s v="-"/>
    <s v="-"/>
    <s v="-"/>
    <s v="-"/>
    <s v="-"/>
  </r>
  <r>
    <n v="171745949"/>
    <n v="78"/>
    <s v="2607:fea8:bee0:5800:212d:bcd0:3cff:2e31"/>
    <m/>
    <n v="44405"/>
    <n v="0.54828310185185181"/>
    <n v="44405"/>
    <n v="0.55071894675925925"/>
    <s v="Completed"/>
    <m/>
    <x v="1"/>
    <s v="-"/>
    <s v="-"/>
    <s v="-"/>
    <s v="-"/>
    <s v="-"/>
    <x v="5"/>
    <s v="Yes"/>
    <s v="No"/>
    <s v="No"/>
    <s v="No"/>
    <s v="SCOAF poster or leaflet"/>
    <x v="0"/>
    <s v="Yes"/>
    <s v="Yes"/>
    <s v="Yes"/>
    <x v="0"/>
    <x v="3"/>
    <s v="Yes"/>
    <s v="No"/>
    <s v="Yes"/>
    <s v="I don't know / Prefer not to say"/>
    <s v="I don't know / Prefer not to say"/>
    <s v="I don't know / Prefer not to say"/>
    <s v="Yes"/>
    <x v="2"/>
    <s v="-"/>
    <s v="Yes"/>
    <s v="-"/>
    <x v="3"/>
    <s v="Yes"/>
    <x v="1"/>
    <s v="I don't know / Prefer not to say"/>
    <s v="Satisfied"/>
    <s v="-"/>
    <s v="-"/>
    <s v="-"/>
    <s v="-"/>
    <s v="-"/>
    <s v="-"/>
    <s v="-"/>
  </r>
  <r>
    <n v="171866746"/>
    <n v="79"/>
    <s v="185.13.50.184"/>
    <m/>
    <n v="44407"/>
    <n v="0.54898206018518525"/>
    <n v="44407"/>
    <n v="0.55031531249999999"/>
    <s v="Completed"/>
    <m/>
    <x v="0"/>
    <s v="I did not know about SCOAF before this visit was announced"/>
    <s v="I haven't sought any information on SCOAF"/>
    <s v="No"/>
    <s v="No"/>
    <s v="No"/>
    <x v="0"/>
    <s v="No"/>
    <s v="Yes"/>
    <s v="Yes"/>
    <s v="No"/>
    <s v="Chain of command"/>
    <x v="1"/>
    <s v="Yes"/>
    <s v="I don't know/ I prefer not to say"/>
    <s v="I don't think this applies to me/ I prefer not to say"/>
    <x v="0"/>
    <x v="0"/>
    <s v="-"/>
    <s v="-"/>
    <s v="-"/>
    <s v="-"/>
    <s v="-"/>
    <s v="-"/>
    <s v="-"/>
    <x v="0"/>
    <s v="-"/>
    <s v="-"/>
    <s v="-"/>
    <x v="0"/>
    <s v="-"/>
    <x v="0"/>
    <s v="-"/>
    <s v="-"/>
    <s v="-"/>
    <s v="British Army"/>
    <s v="Regular (inc. veteran and retired regulars)"/>
    <s v="Officer"/>
    <s v="30-39"/>
    <s v="Male"/>
    <s v="White"/>
  </r>
  <r>
    <n v="171871962"/>
    <n v="80"/>
    <s v="185.13.50.212"/>
    <m/>
    <n v="44407"/>
    <n v="0.5950171296296296"/>
    <n v="44407"/>
    <n v="0.60464267361111113"/>
    <s v="Completed"/>
    <m/>
    <x v="1"/>
    <s v="-"/>
    <s v="-"/>
    <s v="-"/>
    <s v="-"/>
    <s v="-"/>
    <x v="2"/>
    <s v="No"/>
    <s v="No"/>
    <s v="No"/>
    <s v="No"/>
    <s v="Other"/>
    <x v="3"/>
    <s v="No"/>
    <s v="I don't know/ I prefer not to say"/>
    <s v="I don't think this applies to me/ I prefer not to say"/>
    <x v="1"/>
    <x v="2"/>
    <s v="-"/>
    <s v="-"/>
    <s v="Yes"/>
    <s v="Yes"/>
    <s v="Yes"/>
    <s v="Yes"/>
    <s v="Yes"/>
    <x v="0"/>
    <s v="The whole process is slavishly followed for good reason but to the detriment of the bigger picture. In other words there is no room for common sense, experience and judgement to dismiss or expedite relatively trivial or potentially vexatious complaints."/>
    <s v="Yes"/>
    <s v="I have been a respondent in one major SC, I have been a PAP and also Commanding Officer involved in handling a number of SC. In all cases the process was excessively long, and disproportionate to the outcome. Years of experience and judgement counted for nothing. The SC for which I was respondent shook my confidence to the core, this lasted about 2 years due to an appeal. The process affected my ability to do my primary role and consumed many hours of my life. This took a toll on my personal resilience and family life. I did not seek medical attention because I did not feel ill. However I probably could have done and suspect if I had I would have been signed off sick for several weeks. I was deployed on operations later on in this period; it was incredibly demoralising to be in Baghdad under regular rocket attacks whilst a beauraucratic process was being followed back home over which I had no control and no recourse for my own redress."/>
    <x v="5"/>
    <s v="-"/>
    <x v="1"/>
    <s v="No"/>
    <s v="Dissatisfied"/>
    <s v="-"/>
    <s v="-"/>
    <s v="-"/>
    <s v="-"/>
    <s v="-"/>
    <s v="-"/>
    <s v="-"/>
  </r>
  <r>
    <n v="171886502"/>
    <n v="81"/>
    <s v="2a00:23c7:d89b:e001:3d43:2318:cc0a:d72a"/>
    <m/>
    <n v="44407"/>
    <n v="0.73162809027777775"/>
    <n v="44407"/>
    <n v="0.73378626157407412"/>
    <s v="Completed"/>
    <m/>
    <x v="0"/>
    <s v="Chain of Command"/>
    <s v="Yes"/>
    <s v="Yes"/>
    <s v="Yes"/>
    <s v="Yes"/>
    <x v="2"/>
    <s v="Yes"/>
    <s v="Yes"/>
    <s v="No"/>
    <s v="No"/>
    <s v="Chain of command"/>
    <x v="0"/>
    <s v="No"/>
    <s v="Yes"/>
    <s v="Yes"/>
    <x v="0"/>
    <x v="1"/>
    <s v="-"/>
    <s v="-"/>
    <s v="-"/>
    <s v="-"/>
    <s v="-"/>
    <s v="-"/>
    <s v="-"/>
    <x v="0"/>
    <s v="-"/>
    <s v="-"/>
    <s v="-"/>
    <x v="0"/>
    <s v="-"/>
    <x v="0"/>
    <s v="-"/>
    <s v="-"/>
    <s v="-"/>
    <s v="British Army"/>
    <s v="Reservist (inc. veteran and retired reservist)"/>
    <s v="Officer"/>
    <s v="Prefer not to answer"/>
    <s v="Prefer not to answer"/>
    <s v="Prefer not to answer"/>
  </r>
  <r>
    <n v="171899055"/>
    <n v="82"/>
    <s v="185.13.50.218"/>
    <m/>
    <n v="44408"/>
    <n v="0.24197052083333334"/>
    <n v="44408"/>
    <n v="0.25083283564814812"/>
    <s v="Completed"/>
    <m/>
    <x v="1"/>
    <s v="-"/>
    <s v="-"/>
    <s v="-"/>
    <s v="-"/>
    <s v="-"/>
    <x v="2"/>
    <s v="No"/>
    <s v="No"/>
    <s v="No"/>
    <s v="No"/>
    <s v="Colleague or friend"/>
    <x v="2"/>
    <s v="No"/>
    <s v="No"/>
    <s v="Yes"/>
    <x v="2"/>
    <x v="2"/>
    <s v="-"/>
    <s v="-"/>
    <s v="Yes"/>
    <s v="Yes"/>
    <s v="Yes"/>
    <s v="Yes"/>
    <s v="Yes"/>
    <x v="2"/>
    <s v="I was frankly amazed, as a respondent, with a completely unfounded accusation of bullying and harassment made against me, the resource that went into supporting a liar's accusation against me. There must be some check and balance. Anyone can make an unfounded accusation and it hangs over the respondent for, in my case, 8 months. Frankly, appauling. With an HIO appointed, who interviewed 15+ people for 3+ weeks - i dread to think of the thousands of pounds and hundreds of work-hours that went into investigating a bunch of quite obvious lies. Yet i have the stigma of a bullying/harassment claim against me - all because i had the moral courage to write an honest and accurate report on a SP. Shame on this SC system. "/>
    <s v="Yes"/>
    <s v="As a respondent, with a completely unfounded claim of bullying &amp; harassment against me, i spent 8 months wondering what the outcome of my SC would be. I was absolutely confident in my innocence but utterly lacking confidence that any common sense would be applied by the investigating team. I felt like the 'accused', not the 'respondent', from the start and could not believe such lies could be thrown at me with absolutely no evidence. It impacted my mental health, my sleep, my output at work and my personal life. Absolutely disgusting that this false accusation could be thrown against me and no common sense applied on day one that it was total rubbish."/>
    <x v="5"/>
    <s v="-"/>
    <x v="1"/>
    <s v="-"/>
    <s v="Dissatisfied"/>
    <s v="-"/>
    <s v="-"/>
    <s v="-"/>
    <s v="-"/>
    <s v="-"/>
    <s v="-"/>
    <s v="-"/>
  </r>
  <r>
    <n v="171953632"/>
    <n v="83"/>
    <s v="185.13.50.215"/>
    <m/>
    <n v="44410"/>
    <n v="0.36937893518518522"/>
    <n v="44410"/>
    <n v="0.37468348379629629"/>
    <s v="Completed"/>
    <m/>
    <x v="1"/>
    <s v="-"/>
    <s v="-"/>
    <s v="-"/>
    <s v="-"/>
    <s v="-"/>
    <x v="2"/>
    <s v="No"/>
    <s v="No"/>
    <s v="No"/>
    <s v="No"/>
    <s v="Chain of command"/>
    <x v="2"/>
    <s v="No"/>
    <s v="No"/>
    <s v="No"/>
    <x v="0"/>
    <x v="3"/>
    <s v="Yes"/>
    <s v="Yes"/>
    <s v="No"/>
    <s v="Yes"/>
    <s v="Yes"/>
    <s v="No"/>
    <s v="No"/>
    <x v="1"/>
    <s v="Yes, it was delayed as there wasn't a CO in place.  Then the CO appointed a WOII to investigate a situation involving 2 x WOIs.  The WOII also worked in the same building as the Respondent and the CO...other individuals were aware of the complaint when they didn't need to."/>
    <s v="Yes"/>
    <s v="It is a very stressful situation to be in and no support was offered.  I have sleepless nights, my skin was dry and my hair fell out.  My CoC never offered any support throughout."/>
    <x v="2"/>
    <s v="No"/>
    <x v="1"/>
    <s v="No"/>
    <s v="Dissatisfied"/>
    <s v="-"/>
    <s v="-"/>
    <s v="-"/>
    <s v="-"/>
    <s v="-"/>
    <s v="-"/>
    <s v="-"/>
  </r>
  <r>
    <n v="171997546"/>
    <n v="84"/>
    <s v="92.40.170.252"/>
    <m/>
    <n v="44410"/>
    <n v="0.76858252314814812"/>
    <n v="44410"/>
    <n v="0.77326119212962963"/>
    <s v="Completed"/>
    <m/>
    <x v="1"/>
    <s v="-"/>
    <s v="-"/>
    <s v="-"/>
    <s v="-"/>
    <s v="-"/>
    <x v="2"/>
    <s v="Yes"/>
    <s v="Yes"/>
    <s v="No"/>
    <s v="No"/>
    <s v="Colleague or friend"/>
    <x v="2"/>
    <s v="No"/>
    <s v="No"/>
    <s v="No"/>
    <x v="0"/>
    <x v="3"/>
    <s v="Yes"/>
    <s v="No"/>
    <s v="No"/>
    <s v="Yes"/>
    <s v="No"/>
    <s v="No"/>
    <s v="No"/>
    <x v="1"/>
    <s v="Initial advice given by several different admin staff was inaccurate and false.  This delayed the submission of the SC by 12 months. Administration of what was termed by admin staff 'a straightforward case' has already taken a further 15 months with no end in sight.  No regular updates have been provided and the limited information given has been couched in legal and unfamiliar language - with no explanations of these provided.  Chasing emails have been sent to get updates and were often not responded to for months."/>
    <s v="Yes"/>
    <s v="Diagnosed with depression and anxiety directly caused by and attributed to the initial issue, exacerbated by the ongoing interminable SC."/>
    <x v="5"/>
    <s v="Yes"/>
    <x v="6"/>
    <s v="No"/>
    <s v="Dissatisfied"/>
    <s v="-"/>
    <s v="-"/>
    <s v="-"/>
    <s v="-"/>
    <s v="-"/>
    <s v="-"/>
    <s v="-"/>
  </r>
  <r>
    <n v="172155304"/>
    <n v="85"/>
    <s v="185.13.50.183"/>
    <m/>
    <n v="44413"/>
    <n v="0.49280586805555554"/>
    <n v="44413"/>
    <n v="0.49872824074074074"/>
    <s v="Completed"/>
    <m/>
    <x v="1"/>
    <s v="-"/>
    <s v="-"/>
    <s v="-"/>
    <s v="-"/>
    <s v="-"/>
    <x v="0"/>
    <s v="Yes"/>
    <s v="Yes"/>
    <s v="No"/>
    <s v="No"/>
    <s v="Chain of command"/>
    <x v="2"/>
    <s v="No"/>
    <s v="Yes"/>
    <s v="I don't think this applies to me/ I prefer not to say"/>
    <x v="1"/>
    <x v="2"/>
    <s v="-"/>
    <s v="-"/>
    <s v="Yes"/>
    <s v="Yes"/>
    <s v="No"/>
    <s v="Yes"/>
    <s v="I don't know / Prefer not to say"/>
    <x v="0"/>
    <s v="-"/>
    <s v="Yes"/>
    <s v="I was a respondent, the complainant had named many different people and organisations in his complaint. Although I was convinced that I had done nothing wrong, I felt under a large amount of stress and pressure for which I received no support. Admittedly I could have reported to the Med Centre and asked for advice, but I didn't want to disclose the fact that I was named within a Service Complaint. Additionally, I did not want my chain of command to find out so I have kept it from them as well. Even though I feel I have done nothing wrong, and initial interviews seem to support me in that assertion, the fact that I am named has caused stress and distraction and negatively effected both my work and home life."/>
    <x v="5"/>
    <s v="-"/>
    <x v="6"/>
    <s v="I don't know / Prefer not to say"/>
    <s v="Prefer not to say"/>
    <s v="-"/>
    <s v="-"/>
    <s v="-"/>
    <s v="-"/>
    <s v="-"/>
    <s v="-"/>
    <s v="-"/>
  </r>
  <r>
    <n v="172322992"/>
    <n v="86"/>
    <s v="185.13.50.219"/>
    <m/>
    <n v="44417"/>
    <n v="0.47561724537037037"/>
    <n v="44417"/>
    <n v="0.47885714120370371"/>
    <s v="Completed"/>
    <m/>
    <x v="1"/>
    <s v="-"/>
    <s v="-"/>
    <s v="-"/>
    <s v="-"/>
    <s v="-"/>
    <x v="0"/>
    <s v="Yes"/>
    <s v="Yes"/>
    <s v="No"/>
    <s v="No"/>
    <s v="Chain of command"/>
    <x v="3"/>
    <s v="Yes"/>
    <s v="Yes"/>
    <s v="Yes"/>
    <x v="3"/>
    <x v="2"/>
    <s v="-"/>
    <s v="-"/>
    <s v="No"/>
    <s v="Yes"/>
    <s v="Yes"/>
    <s v="Yes"/>
    <s v="Yes"/>
    <x v="0"/>
    <s v="-"/>
    <s v="Yes"/>
    <s v="Considerable extra stress as a result of fulfilling mandated duties.  Led to second-guessing of every interaction with soldiers for a period of time, harming efficiency."/>
    <x v="1"/>
    <s v="-"/>
    <x v="5"/>
    <s v="I don't know / Prefer not to say"/>
    <s v="Neutral"/>
    <s v="-"/>
    <s v="British Army"/>
    <s v="Regular (inc. veteran and retired regulars)"/>
    <s v="Officer"/>
    <s v="30-39"/>
    <s v="Male"/>
    <s v="White"/>
  </r>
  <r>
    <n v="172328223"/>
    <n v="87"/>
    <s v="185.13.50.186"/>
    <m/>
    <n v="44417"/>
    <n v="0.51495339120370376"/>
    <n v="44417"/>
    <n v="0.51829609953703704"/>
    <s v="Completed"/>
    <m/>
    <x v="1"/>
    <s v="-"/>
    <s v="-"/>
    <s v="-"/>
    <s v="-"/>
    <s v="-"/>
    <x v="2"/>
    <s v="No"/>
    <s v="No"/>
    <s v="No"/>
    <s v="Yes"/>
    <s v="Colleague or friend"/>
    <x v="2"/>
    <s v="-"/>
    <s v="No"/>
    <s v="No"/>
    <x v="1"/>
    <x v="2"/>
    <s v="-"/>
    <s v="-"/>
    <s v="Yes"/>
    <s v="Yes"/>
    <s v="No"/>
    <s v="No"/>
    <s v="Yes"/>
    <x v="0"/>
    <s v="The use of an independent fee earning investigating Officer hampered the progress of the SC as they were unaware of the military system/processes etc and were poor in their investigation."/>
    <s v="Yes"/>
    <s v="As a respondent i felt 'guilty until proven inccocent' with the assumption being that the complainant would be placated with some sort of apology to go away. Stress for respondents is equal if not greater than complainants without any additional support."/>
    <x v="1"/>
    <s v="-"/>
    <x v="4"/>
    <s v="No"/>
    <s v="Dissatisfied"/>
    <s v="-"/>
    <s v="-"/>
    <s v="-"/>
    <s v="-"/>
    <s v="-"/>
    <s v="-"/>
    <s v="-"/>
  </r>
  <r>
    <n v="172337082"/>
    <n v="88"/>
    <s v="185.13.50.212"/>
    <m/>
    <n v="44417"/>
    <n v="0.58809880787037039"/>
    <n v="44417"/>
    <n v="0.5895544791666667"/>
    <s v="Completed"/>
    <m/>
    <x v="1"/>
    <s v="-"/>
    <s v="-"/>
    <s v="-"/>
    <s v="-"/>
    <s v="-"/>
    <x v="0"/>
    <s v="Yes"/>
    <s v="Yes"/>
    <s v="Yes"/>
    <s v="No"/>
    <s v="Chain of command"/>
    <x v="3"/>
    <s v="Yes"/>
    <s v="Yes"/>
    <s v="Yes"/>
    <x v="0"/>
    <x v="1"/>
    <s v="-"/>
    <s v="-"/>
    <s v="-"/>
    <s v="-"/>
    <s v="-"/>
    <s v="-"/>
    <s v="-"/>
    <x v="0"/>
    <s v="-"/>
    <s v="-"/>
    <s v="-"/>
    <x v="0"/>
    <s v="-"/>
    <x v="0"/>
    <s v="-"/>
    <s v="-"/>
    <s v="-"/>
    <s v="British Army"/>
    <s v="Regular (inc. veteran and retired regulars)"/>
    <s v="Officer"/>
    <s v="40-49"/>
    <s v="Male"/>
    <s v="White"/>
  </r>
  <r>
    <n v="172369673"/>
    <n v="89"/>
    <s v="185.13.50.219"/>
    <m/>
    <n v="44418"/>
    <n v="0.30650798611111113"/>
    <n v="44418"/>
    <n v="0.3084981828703704"/>
    <s v="Completed"/>
    <m/>
    <x v="1"/>
    <s v="-"/>
    <s v="-"/>
    <s v="-"/>
    <s v="-"/>
    <s v="-"/>
    <x v="2"/>
    <s v="Yes"/>
    <s v="Yes"/>
    <s v="Yes"/>
    <s v="No"/>
    <s v="Knowledge from a previous complaint"/>
    <x v="3"/>
    <s v="No"/>
    <s v="Yes"/>
    <s v="Yes"/>
    <x v="0"/>
    <x v="1"/>
    <s v="-"/>
    <s v="-"/>
    <s v="-"/>
    <s v="-"/>
    <s v="-"/>
    <s v="-"/>
    <s v="-"/>
    <x v="0"/>
    <s v="-"/>
    <s v="-"/>
    <s v="-"/>
    <x v="0"/>
    <s v="-"/>
    <x v="0"/>
    <s v="-"/>
    <s v="-"/>
    <s v="-"/>
    <s v="British Army"/>
    <s v="Regular (inc. veteran and retired regulars)"/>
    <s v="Officer"/>
    <s v="40-49"/>
    <s v="Male"/>
    <s v="White"/>
  </r>
  <r>
    <n v="172461797"/>
    <n v="90"/>
    <s v="185.13.50.178"/>
    <m/>
    <n v="44419"/>
    <n v="0.64500127314814815"/>
    <n v="44419"/>
    <n v="0.64760848379629632"/>
    <s v="Completed"/>
    <m/>
    <x v="1"/>
    <s v="-"/>
    <s v="-"/>
    <s v="-"/>
    <s v="-"/>
    <s v="-"/>
    <x v="4"/>
    <s v="No"/>
    <s v="No"/>
    <s v="Yes"/>
    <s v="No"/>
    <s v="Training"/>
    <x v="2"/>
    <s v="No"/>
    <s v="No"/>
    <s v="I don't think this applies to me/ I prefer not to say"/>
    <x v="1"/>
    <x v="1"/>
    <s v="-"/>
    <s v="-"/>
    <s v="-"/>
    <s v="-"/>
    <s v="-"/>
    <s v="-"/>
    <s v="-"/>
    <x v="0"/>
    <s v="-"/>
    <s v="-"/>
    <s v="-"/>
    <x v="0"/>
    <s v="-"/>
    <x v="0"/>
    <s v="-"/>
    <s v="-"/>
    <s v="-"/>
    <s v="British Army"/>
    <s v="Regular (inc. veteran and retired regulars)"/>
    <s v="Officer"/>
    <s v="40-49"/>
    <s v="Female"/>
    <s v="White"/>
  </r>
  <r>
    <n v="172492230"/>
    <n v="91"/>
    <s v="185.13.50.178"/>
    <m/>
    <n v="44420"/>
    <n v="0.33202569444444446"/>
    <n v="44420"/>
    <n v="0.33414795138888892"/>
    <s v="Completed"/>
    <m/>
    <x v="1"/>
    <s v="-"/>
    <s v="-"/>
    <s v="-"/>
    <s v="-"/>
    <s v="-"/>
    <x v="2"/>
    <s v="Yes"/>
    <s v="Yes"/>
    <s v="No"/>
    <s v="No"/>
    <s v="Other"/>
    <x v="2"/>
    <s v="No"/>
    <s v="Yes"/>
    <s v="Yes"/>
    <x v="0"/>
    <x v="1"/>
    <s v="-"/>
    <s v="-"/>
    <s v="-"/>
    <s v="-"/>
    <s v="-"/>
    <s v="-"/>
    <s v="-"/>
    <x v="0"/>
    <s v="-"/>
    <s v="-"/>
    <s v="-"/>
    <x v="0"/>
    <s v="-"/>
    <x v="0"/>
    <s v="-"/>
    <s v="-"/>
    <s v="-"/>
    <s v="British Army"/>
    <s v="Regular (inc. veteran and retired regulars)"/>
    <s v="Officer"/>
    <s v="40-49"/>
    <s v="Male"/>
    <s v="White"/>
  </r>
  <r>
    <n v="172692622"/>
    <n v="92"/>
    <s v="185.13.50.184"/>
    <m/>
    <n v="44424"/>
    <n v="0.34186542824074073"/>
    <n v="44424"/>
    <n v="0.34308680555555554"/>
    <s v="Completed"/>
    <m/>
    <x v="1"/>
    <s v="-"/>
    <s v="-"/>
    <s v="-"/>
    <s v="-"/>
    <s v="-"/>
    <x v="0"/>
    <s v="Yes"/>
    <s v="Yes"/>
    <s v="No"/>
    <s v="No"/>
    <s v="Other"/>
    <x v="2"/>
    <s v="No"/>
    <s v="No"/>
    <s v="No"/>
    <x v="1"/>
    <x v="0"/>
    <s v="-"/>
    <s v="-"/>
    <s v="-"/>
    <s v="-"/>
    <s v="-"/>
    <s v="-"/>
    <s v="-"/>
    <x v="0"/>
    <s v="-"/>
    <s v="-"/>
    <s v="-"/>
    <x v="0"/>
    <s v="-"/>
    <x v="0"/>
    <s v="-"/>
    <s v="-"/>
    <s v="-"/>
    <s v="Royal Navy"/>
    <s v="Regular (inc. veteran and retired regulars)"/>
    <s v="Officer"/>
    <s v="40-49"/>
    <s v="Male"/>
    <s v="White"/>
  </r>
  <r>
    <n v="172747399"/>
    <n v="93"/>
    <s v="2a02:2788:1066:18a:c508:cf46:164e:5082"/>
    <m/>
    <n v="44424"/>
    <n v="0.91286431712962957"/>
    <n v="44424"/>
    <n v="0.91652357638888893"/>
    <s v="Completed"/>
    <m/>
    <x v="1"/>
    <s v="-"/>
    <s v="-"/>
    <s v="-"/>
    <s v="-"/>
    <s v="-"/>
    <x v="0"/>
    <s v="No"/>
    <s v="No"/>
    <s v="No"/>
    <s v="Yes"/>
    <s v="Colleague or friend"/>
    <x v="3"/>
    <s v="Yes"/>
    <s v="No"/>
    <s v="No"/>
    <x v="0"/>
    <x v="3"/>
    <s v="Yes"/>
    <s v="Yes"/>
    <s v="No"/>
    <s v="Yes"/>
    <s v="-"/>
    <s v="Yes"/>
    <s v="Yes"/>
    <x v="2"/>
    <s v="One point was assessed as inadmissible and whilst trying to establish facts to support my case I was advised the information was protected. The information I requested was not released to me despite it not being a sensitive characteristic."/>
    <s v="Yes"/>
    <s v="Undue stress and anxiety."/>
    <x v="5"/>
    <s v="Yes"/>
    <x v="1"/>
    <s v="No"/>
    <s v="Dissatisfied"/>
    <s v="-"/>
    <s v="-"/>
    <s v="-"/>
    <s v="-"/>
    <s v="-"/>
    <s v="-"/>
    <s v="-"/>
  </r>
  <r>
    <n v="172764021"/>
    <n v="94"/>
    <s v="62.172.108.29"/>
    <m/>
    <n v="44425"/>
    <n v="0.43042179398148145"/>
    <n v="44425"/>
    <n v="0.4631133101851852"/>
    <s v="Completed"/>
    <m/>
    <x v="1"/>
    <s v="-"/>
    <s v="-"/>
    <s v="-"/>
    <s v="-"/>
    <s v="-"/>
    <x v="2"/>
    <s v="No"/>
    <s v="No"/>
    <s v="No"/>
    <s v="Yes"/>
    <s v="Online search"/>
    <x v="3"/>
    <s v="Yes"/>
    <s v="No"/>
    <s v="Yes"/>
    <x v="1"/>
    <x v="3"/>
    <s v="No"/>
    <s v="Yes"/>
    <s v="Yes"/>
    <s v="Yes"/>
    <s v="Yes"/>
    <s v="Yes"/>
    <s v="No"/>
    <x v="2"/>
    <s v="-"/>
    <s v="Yes"/>
    <s v="Generating the SC and having to go back over the bullying and harassment was difficult"/>
    <x v="1"/>
    <s v="No"/>
    <x v="1"/>
    <s v="No"/>
    <s v="Dissatisfied"/>
    <s v="-"/>
    <s v="-"/>
    <s v="-"/>
    <s v="-"/>
    <s v="-"/>
    <s v="-"/>
    <s v="-"/>
  </r>
  <r>
    <n v="172874957"/>
    <n v="95"/>
    <s v="2003:6:13df:5387:a129:a5b9:619:8a11"/>
    <m/>
    <n v="44426"/>
    <n v="0.50700285879629636"/>
    <n v="44426"/>
    <n v="0.50812233796296302"/>
    <s v="Completed"/>
    <m/>
    <x v="1"/>
    <s v="-"/>
    <s v="-"/>
    <s v="-"/>
    <s v="-"/>
    <s v="-"/>
    <x v="2"/>
    <s v="Yes"/>
    <s v="Yes"/>
    <s v="No"/>
    <s v="No"/>
    <s v="Service Welfare/ support"/>
    <x v="3"/>
    <s v="No"/>
    <s v="No"/>
    <s v="No"/>
    <x v="1"/>
    <x v="0"/>
    <s v="-"/>
    <s v="-"/>
    <s v="-"/>
    <s v="-"/>
    <s v="-"/>
    <s v="-"/>
    <s v="-"/>
    <x v="0"/>
    <s v="-"/>
    <s v="-"/>
    <s v="-"/>
    <x v="0"/>
    <s v="-"/>
    <x v="0"/>
    <s v="-"/>
    <s v="-"/>
    <s v="-"/>
    <s v="Royal Air Force"/>
    <s v="Regular (inc. veteran and retired regulars)"/>
    <s v="Non Commissioned Officers/Warrant Officers and equivalent rank"/>
    <s v="40-49"/>
    <s v="Female"/>
    <s v="White"/>
  </r>
  <r>
    <n v="172913920"/>
    <n v="96"/>
    <s v="46.244.28.101"/>
    <m/>
    <n v="44426"/>
    <n v="0.80704456018518522"/>
    <n v="44426"/>
    <n v="0.80942040509259261"/>
    <s v="Completed"/>
    <m/>
    <x v="1"/>
    <s v="-"/>
    <s v="-"/>
    <s v="-"/>
    <s v="-"/>
    <s v="-"/>
    <x v="2"/>
    <s v="Yes"/>
    <s v="No"/>
    <s v="No"/>
    <s v="No"/>
    <s v="Online search"/>
    <x v="2"/>
    <s v="No"/>
    <s v="No"/>
    <s v="No"/>
    <x v="1"/>
    <x v="3"/>
    <s v="I don't know / Prefer not to say"/>
    <s v="No"/>
    <s v="Yes"/>
    <s v="Yes"/>
    <s v="No"/>
    <s v="No"/>
    <s v="No"/>
    <x v="1"/>
    <s v="Information not kept confidential. Others in my Unit knew about aspects which should have been private "/>
    <s v="Yes"/>
    <s v="Negatively. My Chain of Command and others of higher rank than me made me feel disloyal for daring to make a Service Complaint "/>
    <x v="2"/>
    <s v="I don't know / Prefer not to say/ I am not the complainant"/>
    <x v="6"/>
    <s v="No"/>
    <s v="Dissatisfied"/>
    <s v="-"/>
    <s v="-"/>
    <s v="-"/>
    <s v="-"/>
    <s v="-"/>
    <s v="-"/>
    <s v="-"/>
  </r>
  <r>
    <n v="172914693"/>
    <n v="97"/>
    <s v="2a00:23c7:bf8f:5a00:3560:322e:39ec:a828"/>
    <m/>
    <n v="44426"/>
    <n v="0.81726987268518514"/>
    <n v="44426"/>
    <n v="0.82006493055555563"/>
    <s v="Completed"/>
    <m/>
    <x v="1"/>
    <s v="-"/>
    <s v="-"/>
    <s v="-"/>
    <s v="-"/>
    <s v="-"/>
    <x v="2"/>
    <s v="No"/>
    <s v="No"/>
    <s v="No"/>
    <s v="Yes"/>
    <s v="Knowledge from a previous complaint"/>
    <x v="2"/>
    <s v="No"/>
    <s v="No"/>
    <s v="No"/>
    <x v="2"/>
    <x v="2"/>
    <s v="I don't know / Prefer not to say"/>
    <s v="I don't know / Prefer not to say"/>
    <s v="Yes"/>
    <s v="Yes"/>
    <s v="Yes"/>
    <s v="Yes"/>
    <s v="No"/>
    <x v="3"/>
    <s v="-"/>
    <s v="No"/>
    <s v="-"/>
    <x v="5"/>
    <s v="No"/>
    <x v="5"/>
    <s v="I don't know / Prefer not to say"/>
    <s v="Dissatisfied"/>
    <s v="-"/>
    <s v="Royal Air Force"/>
    <s v="Reservist (inc. veteran and retired reservist)"/>
    <s v="Officer"/>
    <s v="50+"/>
    <s v="Male"/>
    <s v="White"/>
  </r>
  <r>
    <n v="172915982"/>
    <n v="98"/>
    <s v="62.103.209.190"/>
    <m/>
    <n v="44426"/>
    <n v="0.83440640046296288"/>
    <n v="44426"/>
    <n v="0.83798271990740736"/>
    <s v="Completed"/>
    <m/>
    <x v="1"/>
    <s v="-"/>
    <s v="-"/>
    <s v="-"/>
    <s v="-"/>
    <s v="-"/>
    <x v="2"/>
    <s v="No"/>
    <s v="No"/>
    <s v="No"/>
    <s v="Yes"/>
    <s v="Online search"/>
    <x v="2"/>
    <s v="Yes"/>
    <s v="I don't know/ I prefer not to say"/>
    <s v="I don't think this applies to me/ I prefer not to say"/>
    <x v="0"/>
    <x v="2"/>
    <s v="I don't know / Prefer not to say"/>
    <s v="-"/>
    <s v="No"/>
    <s v="Yes"/>
    <s v="No"/>
    <s v="No"/>
    <s v="I don't know / Prefer not to say"/>
    <x v="0"/>
    <s v="-"/>
    <s v="No"/>
    <s v="-"/>
    <x v="5"/>
    <s v="-"/>
    <x v="4"/>
    <s v="I don't know / Prefer not to say"/>
    <s v="Neutral"/>
    <s v="-"/>
    <s v="-"/>
    <s v="-"/>
    <s v="-"/>
    <s v="-"/>
    <s v="-"/>
    <s v="-"/>
  </r>
  <r>
    <n v="172916858"/>
    <n v="99"/>
    <s v="2.98.8.190"/>
    <m/>
    <n v="44426"/>
    <n v="0.84508434027777779"/>
    <n v="44426"/>
    <n v="0.84665315972222233"/>
    <s v="Completed"/>
    <m/>
    <x v="0"/>
    <s v="Colleague or friend"/>
    <s v="No"/>
    <s v="Yes"/>
    <s v="Yes"/>
    <s v="No"/>
    <x v="0"/>
    <s v="Yes"/>
    <s v="Yes"/>
    <s v="No"/>
    <s v="No"/>
    <s v="Colleague or friend"/>
    <x v="3"/>
    <s v="No"/>
    <s v="No"/>
    <s v="Yes"/>
    <x v="1"/>
    <x v="0"/>
    <s v="-"/>
    <s v="-"/>
    <s v="-"/>
    <s v="-"/>
    <s v="-"/>
    <s v="-"/>
    <s v="-"/>
    <x v="0"/>
    <s v="-"/>
    <s v="-"/>
    <s v="-"/>
    <x v="0"/>
    <s v="-"/>
    <x v="0"/>
    <s v="-"/>
    <s v="-"/>
    <s v="-"/>
    <s v="British Army"/>
    <s v="Regular (inc. veteran and retired regulars)"/>
    <s v="Non Commissioned Officers/Warrant Officers and equivalent rank"/>
    <s v="30-39"/>
    <s v="Male"/>
    <s v="White"/>
  </r>
  <r>
    <n v="172917064"/>
    <n v="100"/>
    <s v="213.105.184.5"/>
    <m/>
    <n v="44426"/>
    <n v="0.84800621527777775"/>
    <n v="44426"/>
    <n v="0.84917187500000002"/>
    <s v="Completed"/>
    <m/>
    <x v="0"/>
    <s v="I did not know about SCOAF before this visit was announced"/>
    <s v="No"/>
    <s v="Yes"/>
    <s v="No"/>
    <s v="No"/>
    <x v="0"/>
    <s v="No"/>
    <s v="No"/>
    <s v="No"/>
    <s v="No"/>
    <s v="Online search"/>
    <x v="2"/>
    <s v="No"/>
    <s v="No"/>
    <s v="I don't think this applies to me/ I prefer not to say"/>
    <x v="1"/>
    <x v="0"/>
    <s v="-"/>
    <s v="-"/>
    <s v="-"/>
    <s v="-"/>
    <s v="-"/>
    <s v="-"/>
    <s v="-"/>
    <x v="0"/>
    <s v="-"/>
    <s v="-"/>
    <s v="-"/>
    <x v="0"/>
    <s v="-"/>
    <x v="0"/>
    <s v="-"/>
    <s v="-"/>
    <s v="-"/>
    <s v="British Army"/>
    <s v="Regular (inc. veteran and retired regulars)"/>
    <s v="Officer"/>
    <s v="Prefer not to answer"/>
    <s v="Male"/>
    <s v="Prefer not to answer"/>
  </r>
  <r>
    <n v="172918172"/>
    <n v="101"/>
    <s v="148.252.132.223"/>
    <m/>
    <n v="44426"/>
    <n v="0.86159293981481477"/>
    <n v="44426"/>
    <n v="0.86408599537037034"/>
    <s v="Completed"/>
    <m/>
    <x v="0"/>
    <s v="I did not know about SCOAF before this visit was announced"/>
    <s v="No"/>
    <s v="No"/>
    <s v="I didn't know that the Ombudsman existed/ I prefer not to say"/>
    <s v="I don't know/ I prefer not to say"/>
    <x v="0"/>
    <s v="Yes"/>
    <s v="No"/>
    <s v="No"/>
    <s v="No"/>
    <s v="Online search"/>
    <x v="2"/>
    <s v="No"/>
    <s v="No"/>
    <s v="No"/>
    <x v="1"/>
    <x v="3"/>
    <s v="I don't know / Prefer not to say"/>
    <s v="I don't know / Prefer not to say"/>
    <s v="No"/>
    <s v="Yes"/>
    <s v="Yes"/>
    <s v="No"/>
    <s v="I don't know / Prefer not to say"/>
    <x v="1"/>
    <s v="-"/>
    <s v="Yes"/>
    <s v="I suffered greater anxiety and stress. A preexisting medical condition was made worse"/>
    <x v="3"/>
    <s v="I don't know / Prefer not to say/ I am not the complainant"/>
    <x v="7"/>
    <s v="No"/>
    <s v="Dissatisfied"/>
    <s v="-"/>
    <s v="-"/>
    <s v="-"/>
    <s v="-"/>
    <s v="-"/>
    <s v="-"/>
    <s v="-"/>
  </r>
  <r>
    <n v="172918702"/>
    <n v="102"/>
    <s v="2a00:23c4:e489:e600:6139:3dcd:ed0c:300b"/>
    <m/>
    <n v="44426"/>
    <n v="0.8690500347222222"/>
    <n v="44426"/>
    <n v="0.87089814814814825"/>
    <s v="Completed"/>
    <m/>
    <x v="1"/>
    <s v="-"/>
    <s v="-"/>
    <s v="-"/>
    <s v="-"/>
    <s v="-"/>
    <x v="0"/>
    <s v="No"/>
    <s v="No"/>
    <s v="No"/>
    <s v="No"/>
    <s v="Online search"/>
    <x v="2"/>
    <s v="No"/>
    <s v="No"/>
    <s v="No"/>
    <x v="1"/>
    <x v="2"/>
    <s v="-"/>
    <s v="-"/>
    <s v="No"/>
    <s v="-"/>
    <s v="-"/>
    <s v="No"/>
    <s v="No"/>
    <x v="0"/>
    <s v="-"/>
    <s v="No"/>
    <s v="No support offered at any time to myself as a respondent "/>
    <x v="3"/>
    <s v="-"/>
    <x v="1"/>
    <s v="No"/>
    <s v="Dissatisfied"/>
    <s v="-"/>
    <s v="-"/>
    <s v="-"/>
    <s v="-"/>
    <s v="-"/>
    <s v="-"/>
    <s v="-"/>
  </r>
  <r>
    <n v="172947754"/>
    <n v="103"/>
    <s v="85.210.28.233"/>
    <m/>
    <n v="44426"/>
    <n v="0.92308209490740734"/>
    <n v="44426"/>
    <n v="0.92675494212962961"/>
    <s v="Completed"/>
    <m/>
    <x v="1"/>
    <s v="-"/>
    <s v="-"/>
    <s v="-"/>
    <s v="-"/>
    <s v="-"/>
    <x v="2"/>
    <s v="Yes"/>
    <s v="No"/>
    <s v="No"/>
    <s v="No"/>
    <s v="Chain of command"/>
    <x v="2"/>
    <s v="No"/>
    <s v="No"/>
    <s v="No"/>
    <x v="1"/>
    <x v="3"/>
    <s v="Yes"/>
    <s v="No"/>
    <s v="No"/>
    <s v="Yes"/>
    <s v="No"/>
    <s v="No"/>
    <s v="No"/>
    <x v="1"/>
    <s v="Pointless and I left service as the whole process is corrupt "/>
    <s v="Yes"/>
    <s v="My mental health suffered as I was persona no grata in my unit after raising the complaint - bullying and harassment got more psychological "/>
    <x v="2"/>
    <s v="Yes"/>
    <x v="6"/>
    <s v="No"/>
    <s v="Dissatisfied"/>
    <s v="-"/>
    <s v="-"/>
    <s v="-"/>
    <s v="-"/>
    <s v="-"/>
    <s v="-"/>
    <s v="-"/>
  </r>
  <r>
    <n v="172945912"/>
    <n v="104"/>
    <s v="159.8.170.5"/>
    <m/>
    <n v="44426"/>
    <n v="0.91612534722222216"/>
    <n v="44426"/>
    <n v="0.92966805555555554"/>
    <s v="Completed"/>
    <m/>
    <x v="1"/>
    <s v="-"/>
    <s v="-"/>
    <s v="-"/>
    <s v="-"/>
    <s v="-"/>
    <x v="2"/>
    <s v="Yes"/>
    <s v="Yes"/>
    <s v="No"/>
    <s v="No"/>
    <s v="Service Welfare/ support"/>
    <x v="3"/>
    <s v="No"/>
    <s v="No"/>
    <s v="I don't think this applies to me/ I prefer not to say"/>
    <x v="2"/>
    <x v="2"/>
    <s v="-"/>
    <s v="-"/>
    <s v="-"/>
    <s v="-"/>
    <s v="-"/>
    <s v="-"/>
    <s v="-"/>
    <x v="2"/>
    <s v="The process was not timely, and te process dragged on for 2 years. Due to the ability for the complainant to go through endless appeals, there was no finality to the process."/>
    <s v="Yes"/>
    <s v="Lenghthly complaint process overshadowed most of one whole posting and some of a second. Until again dismissed/found unfounded by appeals board, created much enduring anxiety and anger."/>
    <x v="1"/>
    <s v="-"/>
    <x v="1"/>
    <s v="I don't know / Prefer not to say"/>
    <s v="Satisfied"/>
    <s v="-"/>
    <s v="British Army"/>
    <s v="Regular (inc. veteran and retired regulars)"/>
    <s v="Officer"/>
    <s v="-"/>
    <s v="-"/>
    <s v="-"/>
  </r>
  <r>
    <n v="172948858"/>
    <n v="105"/>
    <s v="2a02:c7f:b91b:a700:c839:d0d1:2315:338d"/>
    <m/>
    <n v="44426"/>
    <n v="0.92765401620370369"/>
    <n v="44426"/>
    <n v="0.93965729166666667"/>
    <s v="Completed"/>
    <m/>
    <x v="0"/>
    <s v="Chain of Command"/>
    <s v="No"/>
    <s v="Yes"/>
    <s v="No"/>
    <s v="No"/>
    <x v="2"/>
    <s v="Yes"/>
    <s v="Yes"/>
    <s v="No"/>
    <s v="No"/>
    <s v="Colleague or friend"/>
    <x v="3"/>
    <s v="No"/>
    <s v="No"/>
    <s v="No"/>
    <x v="1"/>
    <x v="3"/>
    <s v="Yes"/>
    <s v="Yes"/>
    <s v="No"/>
    <s v="No"/>
    <s v="Yes"/>
    <s v="No"/>
    <s v="No"/>
    <x v="1"/>
    <s v="There were many issues; too many to list here. Having offered myself for interview, your office has failed to take up the offer, which is still open."/>
    <s v="Yes"/>
    <s v="I still suffer with a form of PTSD, and, as a direct result of the stress, anxiety and depression suffered due to the - now agreed and confirmed - bullying and harassment I had to endure, I now have atrial fibrillation, where a consultant has stated this is now a lifetime diagnosis."/>
    <x v="1"/>
    <s v="No"/>
    <x v="5"/>
    <s v="No"/>
    <s v="Dissatisfied"/>
    <s v="-"/>
    <s v="British Army"/>
    <s v="Reservist (inc. veteran and retired reservist)"/>
    <s v="Officer"/>
    <s v="50+"/>
    <s v="Male"/>
    <s v="White"/>
  </r>
  <r>
    <n v="172957502"/>
    <n v="106"/>
    <s v="138.250.206.36"/>
    <m/>
    <n v="44426"/>
    <n v="0.98216559027777783"/>
    <n v="44426"/>
    <n v="0.9843347569444445"/>
    <s v="Completed"/>
    <m/>
    <x v="1"/>
    <s v="-"/>
    <s v="-"/>
    <s v="-"/>
    <s v="-"/>
    <s v="-"/>
    <x v="2"/>
    <s v="No"/>
    <s v="No"/>
    <s v="No"/>
    <s v="Yes"/>
    <s v="Other"/>
    <x v="3"/>
    <s v="I prefer not to say"/>
    <s v="Yes"/>
    <s v="Yes"/>
    <x v="0"/>
    <x v="2"/>
    <s v="No"/>
    <s v="-"/>
    <s v="Yes"/>
    <s v="Yes"/>
    <s v="I don't know / Prefer not to say"/>
    <s v="Yes"/>
    <s v="Yes"/>
    <x v="0"/>
    <s v="-"/>
    <s v="Yes"/>
    <s v="-"/>
    <x v="5"/>
    <s v="-"/>
    <x v="1"/>
    <s v="Yes"/>
    <s v="Satisfied"/>
    <s v="-"/>
    <s v="-"/>
    <s v="-"/>
    <s v="-"/>
    <s v="-"/>
    <s v="-"/>
    <s v="-"/>
  </r>
  <r>
    <n v="172962433"/>
    <n v="107"/>
    <s v="2a00:23c8:4616:b701:403c:8637:ac59:2934"/>
    <m/>
    <n v="44427"/>
    <n v="9.1616284722222219E-2"/>
    <n v="44427"/>
    <n v="9.3314270833333338E-2"/>
    <s v="Completed"/>
    <m/>
    <x v="0"/>
    <s v="SCOAF poster or leaflet"/>
    <s v="Yes"/>
    <s v="Yes"/>
    <s v="Yes"/>
    <s v="Yes"/>
    <x v="1"/>
    <s v="No"/>
    <s v="Yes"/>
    <s v="No"/>
    <s v="No"/>
    <s v="Chain of command"/>
    <x v="3"/>
    <s v="No"/>
    <s v="No"/>
    <s v="I don't think this applies to me/ I prefer not to say"/>
    <x v="0"/>
    <x v="0"/>
    <s v="-"/>
    <s v="-"/>
    <s v="-"/>
    <s v="-"/>
    <s v="-"/>
    <s v="-"/>
    <s v="-"/>
    <x v="0"/>
    <s v="-"/>
    <s v="-"/>
    <s v="-"/>
    <x v="0"/>
    <s v="-"/>
    <x v="0"/>
    <s v="-"/>
    <s v="-"/>
    <s v="-"/>
    <s v="British Army"/>
    <s v="Regular (inc. veteran and retired regulars)"/>
    <s v="Officer"/>
    <s v="40-49"/>
    <s v="Male"/>
    <s v="White"/>
  </r>
  <r>
    <n v="172964791"/>
    <n v="108"/>
    <s v="90.255.121.37"/>
    <m/>
    <n v="44427"/>
    <n v="0.24192045138888887"/>
    <n v="44427"/>
    <n v="0.24601218750000001"/>
    <s v="Completed"/>
    <m/>
    <x v="1"/>
    <s v="-"/>
    <s v="-"/>
    <s v="-"/>
    <s v="-"/>
    <s v="-"/>
    <x v="2"/>
    <s v="Yes"/>
    <s v="Yes"/>
    <s v="No"/>
    <s v="No"/>
    <s v="Service Welfare/ support"/>
    <x v="2"/>
    <s v="No"/>
    <s v="No"/>
    <s v="No"/>
    <x v="1"/>
    <x v="3"/>
    <s v="No"/>
    <s v="Yes"/>
    <s v="Yes"/>
    <s v="Yes"/>
    <s v="Yes"/>
    <s v="No"/>
    <s v="No"/>
    <x v="1"/>
    <s v="Selection of individuals deemed to be trusted unbiased decision makers_x000a__x000a_The whole decision making process is internal, biased and officers looking after officers"/>
    <s v="Yes"/>
    <s v="Anxiety and stress which lead to 2 separate hospital stats one over 5 days _x000a__x000a_Home life disrupted for 3 years with my self confidence shattered, trust shattered and ignored by the system I had devoted all my working life to "/>
    <x v="1"/>
    <s v="No"/>
    <x v="1"/>
    <s v="No"/>
    <s v="Dissatisfied"/>
    <s v="-"/>
    <s v="-"/>
    <s v="-"/>
    <s v="-"/>
    <s v="-"/>
    <s v="-"/>
    <s v="-"/>
  </r>
  <r>
    <n v="172966214"/>
    <n v="109"/>
    <s v="2a00:23c4:3684:1401:a1d3:e7ab:33ba:81ff"/>
    <m/>
    <n v="44427"/>
    <n v="0.28182118055555555"/>
    <n v="44427"/>
    <n v="0.28302916666666667"/>
    <s v="Completed"/>
    <m/>
    <x v="1"/>
    <s v="-"/>
    <s v="-"/>
    <s v="-"/>
    <s v="-"/>
    <s v="-"/>
    <x v="2"/>
    <s v="No"/>
    <s v="No"/>
    <s v="No"/>
    <s v="Yes"/>
    <s v="Other"/>
    <x v="2"/>
    <s v="No"/>
    <s v="Yes"/>
    <s v="No"/>
    <x v="1"/>
    <x v="1"/>
    <s v="-"/>
    <s v="-"/>
    <s v="-"/>
    <s v="-"/>
    <s v="-"/>
    <s v="-"/>
    <s v="-"/>
    <x v="0"/>
    <s v="-"/>
    <s v="-"/>
    <s v="-"/>
    <x v="0"/>
    <s v="-"/>
    <x v="0"/>
    <s v="-"/>
    <s v="-"/>
    <s v="-"/>
    <s v="British Army"/>
    <s v="Regular (inc. veteran and retired regulars)"/>
    <s v="Officer"/>
    <s v="40-49"/>
    <s v="Male"/>
    <s v="White"/>
  </r>
  <r>
    <n v="172970568"/>
    <n v="110"/>
    <s v="185.13.50.178"/>
    <m/>
    <n v="44427"/>
    <n v="0.33777862268518516"/>
    <n v="44427"/>
    <n v="0.33908252314814818"/>
    <s v="Completed"/>
    <m/>
    <x v="1"/>
    <s v="-"/>
    <s v="-"/>
    <s v="-"/>
    <s v="-"/>
    <s v="-"/>
    <x v="4"/>
    <s v="No"/>
    <s v="Yes"/>
    <s v="No"/>
    <s v="No"/>
    <s v="Chain of command"/>
    <x v="2"/>
    <s v="No"/>
    <s v="Yes"/>
    <s v="No"/>
    <x v="0"/>
    <x v="1"/>
    <s v="-"/>
    <s v="-"/>
    <s v="-"/>
    <s v="-"/>
    <s v="-"/>
    <s v="-"/>
    <s v="-"/>
    <x v="0"/>
    <s v="-"/>
    <s v="-"/>
    <s v="-"/>
    <x v="0"/>
    <s v="-"/>
    <x v="0"/>
    <s v="-"/>
    <s v="-"/>
    <s v="-"/>
    <s v="British Army"/>
    <s v="Regular (inc. veteran and retired regulars)"/>
    <s v="Officer"/>
    <s v="40-49"/>
    <s v="Female"/>
    <s v="White"/>
  </r>
  <r>
    <n v="172973360"/>
    <n v="111"/>
    <s v="81.144.135.218"/>
    <m/>
    <n v="44427"/>
    <n v="0.36150254629629625"/>
    <n v="44427"/>
    <n v="0.3629379976851852"/>
    <s v="Completed"/>
    <m/>
    <x v="1"/>
    <s v="-"/>
    <s v="-"/>
    <s v="-"/>
    <s v="-"/>
    <s v="-"/>
    <x v="0"/>
    <s v="Yes"/>
    <s v="Yes"/>
    <s v="No"/>
    <s v="No"/>
    <s v="Knowledge from a previous complaint"/>
    <x v="2"/>
    <s v="No"/>
    <s v="Yes"/>
    <s v="Yes"/>
    <x v="1"/>
    <x v="1"/>
    <s v="-"/>
    <s v="-"/>
    <s v="-"/>
    <s v="-"/>
    <s v="-"/>
    <s v="-"/>
    <s v="-"/>
    <x v="0"/>
    <s v="-"/>
    <s v="-"/>
    <s v="-"/>
    <x v="0"/>
    <s v="-"/>
    <x v="0"/>
    <s v="-"/>
    <s v="-"/>
    <s v="-"/>
    <s v="British Army"/>
    <s v="Regular (inc. veteran and retired regulars)"/>
    <s v="Officer"/>
    <s v="40-49"/>
    <s v="Male"/>
    <s v="Prefer not to answer"/>
  </r>
  <r>
    <n v="173014465"/>
    <n v="112"/>
    <s v="2a01:4c8:1484:9ee2:1:1:d27e:11f0"/>
    <m/>
    <n v="44427"/>
    <n v="0.61505119212962966"/>
    <n v="44427"/>
    <n v="0.61851582175925923"/>
    <s v="Completed"/>
    <m/>
    <x v="1"/>
    <s v="-"/>
    <s v="-"/>
    <s v="-"/>
    <s v="-"/>
    <s v="-"/>
    <x v="4"/>
    <s v="No"/>
    <s v="No"/>
    <s v="Yes"/>
    <s v="No"/>
    <s v="Knowledge from a previous complaint"/>
    <x v="2"/>
    <s v="No"/>
    <s v="No"/>
    <s v="Yes"/>
    <x v="1"/>
    <x v="3"/>
    <s v="No"/>
    <s v="Yes"/>
    <s v="Yes"/>
    <s v="Yes"/>
    <s v="No"/>
    <s v="No"/>
    <s v="Yes"/>
    <x v="2"/>
    <s v="The complaints procedure is biased and without accountability, the SCOAF have said so for almost a decade"/>
    <s v="Yes"/>
    <s v="Stress,felt low, felt hard done by, and felt no one would listen"/>
    <x v="3"/>
    <s v="No"/>
    <x v="1"/>
    <s v="No"/>
    <s v="Dissatisfied"/>
    <s v="-"/>
    <s v="-"/>
    <s v="-"/>
    <s v="-"/>
    <s v="-"/>
    <s v="-"/>
    <s v="-"/>
  </r>
  <r>
    <n v="173014864"/>
    <n v="113"/>
    <s v="2a00:23c7:603:7501:1444:98e7:2d7b:6b05"/>
    <m/>
    <n v="44427"/>
    <n v="0.61765115740740739"/>
    <n v="44427"/>
    <n v="0.61883159722222225"/>
    <s v="Completed"/>
    <m/>
    <x v="1"/>
    <s v="-"/>
    <s v="-"/>
    <s v="-"/>
    <s v="-"/>
    <s v="-"/>
    <x v="2"/>
    <s v="Yes"/>
    <s v="No"/>
    <s v="No"/>
    <s v="No"/>
    <s v="Online search"/>
    <x v="2"/>
    <s v="No"/>
    <s v="No"/>
    <s v="No"/>
    <x v="0"/>
    <x v="0"/>
    <s v="-"/>
    <s v="-"/>
    <s v="-"/>
    <s v="-"/>
    <s v="-"/>
    <s v="-"/>
    <s v="-"/>
    <x v="0"/>
    <s v="-"/>
    <s v="-"/>
    <s v="-"/>
    <x v="0"/>
    <s v="-"/>
    <x v="0"/>
    <s v="-"/>
    <s v="-"/>
    <s v="-"/>
    <s v="Royal Navy"/>
    <s v="Reservist (inc. veteran and retired reservist)"/>
    <s v="Officer"/>
    <s v="30-39"/>
    <s v="Female"/>
    <s v="White"/>
  </r>
  <r>
    <n v="173016455"/>
    <n v="114"/>
    <s v="213.123.42.68"/>
    <m/>
    <n v="44427"/>
    <n v="0.62825274305555556"/>
    <n v="44427"/>
    <n v="0.63028711805555548"/>
    <s v="Completed"/>
    <m/>
    <x v="0"/>
    <s v="Other"/>
    <s v="No"/>
    <s v="Yes"/>
    <s v="Yes"/>
    <s v="No"/>
    <x v="2"/>
    <s v="Yes"/>
    <s v="Yes"/>
    <s v="No"/>
    <s v="No"/>
    <s v="Other"/>
    <x v="2"/>
    <s v="No"/>
    <s v="No"/>
    <s v="No"/>
    <x v="1"/>
    <x v="0"/>
    <s v="-"/>
    <s v="-"/>
    <s v="-"/>
    <s v="-"/>
    <s v="-"/>
    <s v="-"/>
    <s v="-"/>
    <x v="0"/>
    <s v="-"/>
    <s v="-"/>
    <s v="-"/>
    <x v="0"/>
    <s v="-"/>
    <x v="0"/>
    <s v="-"/>
    <s v="-"/>
    <s v="-"/>
    <s v="Royal Navy"/>
    <s v="Reservist (inc. veteran and retired reservist)"/>
    <s v="Officer"/>
    <s v="20-29"/>
    <s v="Female"/>
    <s v="White"/>
  </r>
  <r>
    <n v="173104102"/>
    <n v="115"/>
    <s v="82.1.37.4"/>
    <m/>
    <n v="44428"/>
    <n v="0.95277318287037038"/>
    <n v="44428"/>
    <n v="0.96321010416666664"/>
    <s v="Completed"/>
    <m/>
    <x v="1"/>
    <s v="-"/>
    <s v="-"/>
    <s v="-"/>
    <s v="-"/>
    <s v="-"/>
    <x v="2"/>
    <s v="No"/>
    <s v="No"/>
    <s v="No"/>
    <s v="No"/>
    <s v="Colleague or friend"/>
    <x v="2"/>
    <s v="No"/>
    <s v="No"/>
    <s v="No"/>
    <x v="1"/>
    <x v="3"/>
    <s v="Yes"/>
    <s v="No"/>
    <s v="No"/>
    <s v="No"/>
    <s v="-"/>
    <s v="No"/>
    <s v="No"/>
    <x v="1"/>
    <s v="Failure to appoint the Royal Military Police to investigate, obtain and record relevant forensic evidence. Failure to interview the complainant. Failure to appoint an Assisting Officer. Failure to adhere to the correct procedures and timeframes. "/>
    <s v="Yes"/>
    <s v="Aside from the physical and psychological impact of the initial incident, my health deteriorated having to withstand widespread rank closures, career mismanagement and reprisals for having the temerity to raise a service complaint. "/>
    <x v="2"/>
    <s v="Yes"/>
    <x v="3"/>
    <s v="No"/>
    <s v="Dissatisfied"/>
    <s v="-"/>
    <s v="-"/>
    <s v="-"/>
    <s v="-"/>
    <s v="-"/>
    <s v="-"/>
    <s v="-"/>
  </r>
  <r>
    <n v="173491095"/>
    <n v="116"/>
    <s v="185.230.113.76"/>
    <m/>
    <n v="44435"/>
    <n v="0.60517109953703707"/>
    <n v="44435"/>
    <n v="0.60857789351851854"/>
    <s v="Completed"/>
    <m/>
    <x v="1"/>
    <s v="-"/>
    <s v="-"/>
    <s v="-"/>
    <s v="-"/>
    <s v="-"/>
    <x v="0"/>
    <s v="No"/>
    <s v="No"/>
    <s v="No"/>
    <s v="No"/>
    <s v="Chain of command"/>
    <x v="2"/>
    <s v="Yes"/>
    <s v="No"/>
    <s v="Yes"/>
    <x v="1"/>
    <x v="3"/>
    <s v="No"/>
    <s v="Yes"/>
    <s v="No"/>
    <s v="Yes"/>
    <s v="I don't know / Prefer not to say"/>
    <s v="Yes"/>
    <s v="No"/>
    <x v="1"/>
    <s v="Time frames not met throughout, updates were I have no update"/>
    <s v="Yes"/>
    <s v="Sleepless nights_x000a_Anguish_x000a_Worry _x000a_Frustration_x000a_Anger "/>
    <x v="1"/>
    <s v="No"/>
    <x v="1"/>
    <s v="No"/>
    <s v="Dissatisfied"/>
    <s v="-"/>
    <s v="-"/>
    <s v="-"/>
    <s v="-"/>
    <s v="-"/>
    <s v="-"/>
    <s v="-"/>
  </r>
  <r>
    <n v="173646332"/>
    <n v="117"/>
    <s v="185.13.50.181"/>
    <m/>
    <n v="44439"/>
    <n v="0.45304968750000002"/>
    <n v="44439"/>
    <n v="0.45877488425925922"/>
    <s v="Completed"/>
    <m/>
    <x v="1"/>
    <s v="-"/>
    <s v="-"/>
    <s v="-"/>
    <s v="-"/>
    <s v="-"/>
    <x v="2"/>
    <s v="Yes"/>
    <s v="No"/>
    <s v="No"/>
    <s v="No"/>
    <s v="Colleague or friend"/>
    <x v="0"/>
    <s v="No"/>
    <s v="Yes"/>
    <s v="No"/>
    <x v="0"/>
    <x v="3"/>
    <s v="Yes"/>
    <s v="No"/>
    <s v="Yes"/>
    <s v="Yes"/>
    <s v="Yes"/>
    <s v="Yes"/>
    <s v="I don't know / Prefer not to say"/>
    <x v="2"/>
    <s v="HoC were dismissed as having been investigated before. This was incorrect and large parts of the SC were not taken into consideration due to them falsely being dismissed. The DB changed in the last part of the SC, therefore an unknown DB, who had not been involved in the SC and did not conduct the interview was deciding on the outcome."/>
    <s v="Yes"/>
    <s v="Time spent trying to find documents, attending interviews, being deployed overseas made it extremely difficult, especially without access to MODnet or Sharepoint. I did not have time to meet with my AO back in the UK to respond to the disclosure pack. Reading the evidence pack there were defendants that has clearly lied, however, there was no way of coming back to this as the decision had already been made."/>
    <x v="1"/>
    <s v="Yes"/>
    <x v="1"/>
    <s v="No"/>
    <s v="Dissatisfied"/>
    <s v="-"/>
    <s v="-"/>
    <s v="-"/>
    <s v="-"/>
    <s v="-"/>
    <s v="-"/>
    <s v="-"/>
  </r>
  <r>
    <n v="173730637"/>
    <n v="118"/>
    <s v="217.39.114.193"/>
    <m/>
    <n v="44440"/>
    <n v="0.51876936342592594"/>
    <n v="44440"/>
    <n v="0.52826836805555555"/>
    <s v="Completed"/>
    <m/>
    <x v="1"/>
    <s v="-"/>
    <s v="-"/>
    <s v="-"/>
    <s v="-"/>
    <s v="-"/>
    <x v="1"/>
    <s v="Yes"/>
    <s v="No"/>
    <s v="No"/>
    <s v="No"/>
    <s v="Other"/>
    <x v="1"/>
    <s v="No"/>
    <s v="No"/>
    <s v="No"/>
    <x v="1"/>
    <x v="3"/>
    <s v="Yes"/>
    <s v="Yes"/>
    <s v="Yes"/>
    <s v="Yes"/>
    <s v="Yes"/>
    <s v="No"/>
    <s v="I don't know / Prefer not to say"/>
    <x v="3"/>
    <s v="It was difficult to originally submit the complaint, I kept being told that it wasn’t a complaint. I sought legal advice from a solicitor who agreed with the complaint and gave advice. After this the service started to accept my complaint, however it was very difficult to put forward and has seemed like they are trying to overlook and dismiss it before even investigating it."/>
    <s v="Yes"/>
    <s v="Added worry and stress with the process going on so long. The complaint has a career changing decision lying on its outcome."/>
    <x v="1"/>
    <s v="Yes"/>
    <x v="6"/>
    <s v="I don't know / Prefer not to say"/>
    <s v="Prefer not to say"/>
    <s v="-"/>
    <s v="-"/>
    <s v="-"/>
    <s v="-"/>
    <s v="-"/>
    <s v="-"/>
    <s v="-"/>
  </r>
  <r>
    <n v="174057952"/>
    <n v="119"/>
    <s v="185.13.50.219"/>
    <m/>
    <n v="44446"/>
    <n v="0.54825578703703703"/>
    <n v="44446"/>
    <n v="0.55035436342592592"/>
    <s v="Completed"/>
    <m/>
    <x v="0"/>
    <s v="I did not know about SCOAF before this visit was announced"/>
    <s v="I didn't know SCOAF existed/ I prefer not to say"/>
    <s v="No"/>
    <s v="I didn't know that the Ombudsman existed/ I prefer not to say"/>
    <s v="I don't know/ I prefer not to say"/>
    <x v="3"/>
    <s v="No"/>
    <s v="No"/>
    <s v="No"/>
    <s v="No"/>
    <s v="-"/>
    <x v="4"/>
    <s v="-"/>
    <s v="-"/>
    <s v="-"/>
    <x v="4"/>
    <x v="4"/>
    <s v="-"/>
    <s v="-"/>
    <s v="-"/>
    <s v="-"/>
    <s v="-"/>
    <s v="-"/>
    <s v="-"/>
    <x v="0"/>
    <s v="-"/>
    <s v="-"/>
    <s v="-"/>
    <x v="0"/>
    <s v="-"/>
    <x v="0"/>
    <s v="-"/>
    <s v="-"/>
    <s v="I wasn't aware of the SCOAF until I discussed my concerns with my LM and he showed me the relevant links/webpages and was really helpful. I feel the option to submit a service complaint isn't well publicised to junior ranks "/>
    <s v="Royal Air Force"/>
    <s v="Regular (inc. veteran and retired regulars)"/>
    <s v="Non Commissioned Officers/Warrant Officers and equivalent rank"/>
    <s v="30-39"/>
    <s v="Female"/>
    <s v="White"/>
  </r>
  <r>
    <n v="174093909"/>
    <n v="120"/>
    <s v="92.40.202.154"/>
    <m/>
    <n v="44446"/>
    <n v="0.81429965277777772"/>
    <n v="44446"/>
    <n v="0.81939660879629628"/>
    <s v="Completed"/>
    <m/>
    <x v="1"/>
    <s v="-"/>
    <s v="-"/>
    <s v="-"/>
    <s v="-"/>
    <s v="-"/>
    <x v="2"/>
    <s v="No"/>
    <s v="No"/>
    <s v="No"/>
    <s v="No"/>
    <s v="Chain of command"/>
    <x v="2"/>
    <s v="No"/>
    <s v="No"/>
    <s v="No"/>
    <x v="1"/>
    <x v="0"/>
    <s v="-"/>
    <s v="-"/>
    <s v="-"/>
    <s v="-"/>
    <s v="-"/>
    <s v="-"/>
    <s v="-"/>
    <x v="0"/>
    <s v="-"/>
    <s v="-"/>
    <s v="-"/>
    <x v="0"/>
    <s v="-"/>
    <x v="0"/>
    <s v="-"/>
    <s v="-"/>
    <s v="There wasn’t a chance in hell for the complainant. The entire chain of command closed ranks, and lied, to protect a fellow officer. There was zero justice. The deciding officer was selected as a “safe pair of hands”, to ensure the “correct” decision was made. The whole process was a farce. I spoke to one of the witnesses, who blatantly lied, I asked him why. He said it had been made clear to him, by the CO, that if he told the truth, his career would be over."/>
    <s v="British Army"/>
    <s v="Regular (inc. veteran and retired regulars)"/>
    <s v="Officer"/>
    <s v="30-39"/>
    <s v="Male"/>
    <s v="White"/>
  </r>
  <r>
    <n v="174785123"/>
    <n v="121"/>
    <s v="2a00:23c4:8597:8600:9d4:88a9:9aa4:f14b"/>
    <m/>
    <n v="44456"/>
    <n v="0.57757546296296292"/>
    <n v="44456"/>
    <n v="0.57954930555555551"/>
    <s v="Completed"/>
    <m/>
    <x v="1"/>
    <s v="-"/>
    <s v="-"/>
    <s v="-"/>
    <s v="-"/>
    <s v="-"/>
    <x v="2"/>
    <s v="No"/>
    <s v="Yes"/>
    <s v="Yes"/>
    <s v="No"/>
    <s v="Other"/>
    <x v="2"/>
    <s v="No"/>
    <s v="No"/>
    <s v="No"/>
    <x v="1"/>
    <x v="0"/>
    <s v="-"/>
    <s v="-"/>
    <s v="-"/>
    <s v="-"/>
    <s v="-"/>
    <s v="-"/>
    <s v="-"/>
    <x v="0"/>
    <s v="-"/>
    <s v="-"/>
    <s v="-"/>
    <x v="0"/>
    <s v="-"/>
    <x v="0"/>
    <s v="-"/>
    <s v="-"/>
    <s v="The Special to Type Complaints processes, particularly the medical one, need to be overseen by an independent body. This caused an 18 month delay in the submission of the service complaint and caused a great deal of emotional distress for the complainant, causing her to have to forego deployment on welfare grounds which has had an impact on her career development."/>
    <s v="Royal Air Force"/>
    <s v="Regular (inc. veteran and retired regulars)"/>
    <s v="Officer"/>
    <s v="20-29"/>
    <s v="Female"/>
    <s v="Mixed"/>
  </r>
  <r>
    <n v="174803190"/>
    <n v="122"/>
    <s v="62.7.226.236"/>
    <m/>
    <n v="44456"/>
    <n v="0.71922523148148143"/>
    <n v="44456"/>
    <n v="0.72659760416666674"/>
    <s v="Completed"/>
    <m/>
    <x v="1"/>
    <s v="-"/>
    <s v="-"/>
    <s v="-"/>
    <s v="-"/>
    <s v="-"/>
    <x v="2"/>
    <s v="Yes"/>
    <s v="No"/>
    <s v="No"/>
    <s v="No"/>
    <s v="Colleague or friend"/>
    <x v="0"/>
    <s v="Yes"/>
    <s v="No"/>
    <s v="Yes"/>
    <x v="0"/>
    <x v="3"/>
    <s v="No"/>
    <s v="Yes"/>
    <s v="Yes"/>
    <s v="Yes"/>
    <s v="Yes"/>
    <s v="Yes"/>
    <s v="Yes"/>
    <x v="2"/>
    <s v="Yes. Individuals were found at fault and administrative action was “recommended” but none was taken. Likewise, less for the letter I was provided stating I was wronged there was no attempt/ability of the system to communicate the finding wider to counter the negativity I had received."/>
    <s v="Yes"/>
    <s v="I suggested severe depression, was medicated for a year and nearly lost my job."/>
    <x v="5"/>
    <s v="No"/>
    <x v="5"/>
    <s v="No"/>
    <s v="Dissatisfied"/>
    <s v="Yes, there needs to be a way that the chain of command can view the outcome of other service complaints following decision against a respondent or the service complaint escalated to be dealt with at a higher level where the respondent has multiple complaints agains them / a history of proven failing.  Like a JPA discipline record but for service complaints - there are endless examples of individuals found guilty of failings or poor behaviours with a string of service complaints.  Also, there needs to be a redacted outcome published like the courts martial results publication so individuals can see the system works."/>
    <s v="British Army"/>
    <s v="Regular (inc. veteran and retired regulars)"/>
    <s v="Officer"/>
    <s v="30-39"/>
    <s v="Male"/>
    <s v="White"/>
  </r>
  <r>
    <n v="174806291"/>
    <n v="123"/>
    <s v="213.205.194.40"/>
    <m/>
    <n v="44456"/>
    <n v="0.75548101851851845"/>
    <n v="44456"/>
    <n v="0.7590351851851852"/>
    <s v="Completed"/>
    <m/>
    <x v="1"/>
    <s v="-"/>
    <s v="-"/>
    <s v="-"/>
    <s v="-"/>
    <s v="-"/>
    <x v="4"/>
    <s v="No"/>
    <s v="No"/>
    <s v="No"/>
    <s v="Yes"/>
    <s v="Knowledge from a previous complaint"/>
    <x v="2"/>
    <s v="No"/>
    <s v="No"/>
    <s v="No"/>
    <x v="1"/>
    <x v="0"/>
    <s v="-"/>
    <s v="-"/>
    <s v="-"/>
    <s v="-"/>
    <s v="-"/>
    <s v="-"/>
    <s v="-"/>
    <x v="0"/>
    <s v="-"/>
    <s v="-"/>
    <s v="-"/>
    <x v="0"/>
    <s v="-"/>
    <x v="0"/>
    <s v="-"/>
    <s v="-"/>
    <s v="The process is not fit for purpose and hasn’t been for many years.  It’s not independent, it is not properly resourced and it is difficult to navigate.  It is geared to protect the system and obfuscate the individual.  It’s outdated and is not a fair system and administered by amateurs."/>
    <s v="British Army"/>
    <s v="Regular (inc. veteran and retired regulars)"/>
    <s v="Officer"/>
    <s v="20-29"/>
    <s v="Prefer not to answer"/>
    <s v="White"/>
  </r>
  <r>
    <n v="174807034"/>
    <n v="124"/>
    <s v="217.146.29.75"/>
    <m/>
    <n v="44456"/>
    <n v="0.76610964120370373"/>
    <n v="44456"/>
    <n v="0.7688212152777778"/>
    <s v="Completed"/>
    <m/>
    <x v="1"/>
    <s v="-"/>
    <s v="-"/>
    <s v="-"/>
    <s v="-"/>
    <s v="-"/>
    <x v="2"/>
    <s v="Yes"/>
    <s v="Yes"/>
    <s v="Yes"/>
    <s v="No"/>
    <s v="Other"/>
    <x v="2"/>
    <s v="No"/>
    <s v="No"/>
    <s v="No"/>
    <x v="1"/>
    <x v="3"/>
    <s v="Yes"/>
    <s v="No"/>
    <s v="No"/>
    <s v="No"/>
    <s v="-"/>
    <s v="No"/>
    <s v="No"/>
    <x v="1"/>
    <s v="The Chain of command tried every tactic to stop the complaint, sweep it under the carpet and avoid dealing with it. "/>
    <s v="Yes"/>
    <s v="Stress induced depression resulting in poor reports and career foul"/>
    <x v="5"/>
    <s v="Yes"/>
    <x v="3"/>
    <s v="No"/>
    <s v="Dissatisfied"/>
    <s v="-"/>
    <s v="-"/>
    <s v="-"/>
    <s v="-"/>
    <s v="-"/>
    <s v="-"/>
    <s v="-"/>
  </r>
  <r>
    <n v="174807259"/>
    <n v="125"/>
    <s v="193.105.73.177"/>
    <m/>
    <n v="44456"/>
    <n v="0.76945667824074071"/>
    <n v="44456"/>
    <n v="0.77281785879629628"/>
    <s v="Completed"/>
    <m/>
    <x v="1"/>
    <s v="-"/>
    <s v="-"/>
    <s v="-"/>
    <s v="-"/>
    <s v="-"/>
    <x v="2"/>
    <s v="Yes"/>
    <s v="Yes"/>
    <s v="Yes"/>
    <s v="No"/>
    <s v="Chain of command"/>
    <x v="2"/>
    <s v="No"/>
    <s v="No"/>
    <s v="No"/>
    <x v="1"/>
    <x v="1"/>
    <s v="-"/>
    <s v="-"/>
    <s v="-"/>
    <s v="-"/>
    <s v="-"/>
    <s v="-"/>
    <s v="-"/>
    <x v="0"/>
    <s v="-"/>
    <s v="-"/>
    <s v="-"/>
    <x v="0"/>
    <s v="-"/>
    <x v="0"/>
    <s v="-"/>
    <s v="-"/>
    <s v="The process is not fit for purpose - there is nowhere for a CO to get clear independent advice without giving all of the details to someone who will inform my reporting chain of command and when that happened I was pressurised to &quot;sort it as quickly and quietly as possible&quot; and &quot;don't give any ground&quot; so effectively ordered to do anything to undermine the complainant - I couldn't, I felt the complaint was valid in parts - I tried to set up mediation but the CoC stopped that - the complainant was not treated fairly and I was being pressurised to be part of that as the CO, it badly affected my well being and family life. This process should be taken out of the CoC! "/>
    <s v="British Army"/>
    <s v="Regular (inc. veteran and retired regulars)"/>
    <s v="Officer"/>
    <s v="40-49"/>
    <s v="Male"/>
    <s v="White"/>
  </r>
  <r>
    <n v="174808372"/>
    <n v="126"/>
    <s v="84.66.231.190"/>
    <m/>
    <n v="44456"/>
    <n v="0.78666728009259257"/>
    <n v="44456"/>
    <n v="0.79447045138888894"/>
    <s v="Completed"/>
    <m/>
    <x v="1"/>
    <s v="-"/>
    <s v="-"/>
    <s v="-"/>
    <s v="-"/>
    <s v="-"/>
    <x v="5"/>
    <s v="No"/>
    <s v="No"/>
    <s v="Yes"/>
    <s v="No"/>
    <s v="Other"/>
    <x v="0"/>
    <s v="No"/>
    <s v="No"/>
    <s v="Yes"/>
    <x v="0"/>
    <x v="3"/>
    <s v="No"/>
    <s v="Yes"/>
    <s v="Yes"/>
    <s v="Yes"/>
    <s v="Yes"/>
    <s v="No"/>
    <s v="Yes"/>
    <x v="2"/>
    <s v="The people administering the complaint did not understand the complexities of my complaint so it was dragged out significantly due to an avoidance to make a decision. Legal advice was sent direct to me and was incorrect. Once the complaint was upheld it was then left to me to chase DBS for the money I was awarded which took an additional 6 months. End to end process is missing from the system. "/>
    <s v="No"/>
    <s v="-"/>
    <x v="3"/>
    <s v="No"/>
    <x v="5"/>
    <s v="Yes"/>
    <s v="Satisfied"/>
    <s v="The SC process should not end when the DB has made a decision. They should follow it up until the very end. I had to personally chase DBS for my monetary award and they had calculated the amount wrong which I had to tell them. I noticed the error because I am an SME in pay and allowances but someone else might have not noticed and not been awarded their full amount. My complaint took 3 yrs from starting the STT process to receiving the money I had been awarded…….unacceptable!!"/>
    <s v="British Army"/>
    <s v="Regular (inc. veteran and retired regulars)"/>
    <s v="Officer"/>
    <s v="30-39"/>
    <s v="Female"/>
    <s v="White"/>
  </r>
  <r>
    <n v="174808772"/>
    <n v="127"/>
    <s v="82.132.240.119"/>
    <m/>
    <n v="44456"/>
    <n v="0.79410891203703704"/>
    <n v="44456"/>
    <n v="0.79827184027777776"/>
    <s v="Completed"/>
    <m/>
    <x v="1"/>
    <s v="-"/>
    <s v="-"/>
    <s v="-"/>
    <s v="-"/>
    <s v="-"/>
    <x v="2"/>
    <s v="Yes"/>
    <s v="Yes"/>
    <s v="No"/>
    <s v="No"/>
    <s v="Online search"/>
    <x v="1"/>
    <s v="Yes"/>
    <s v="No"/>
    <s v="Yes"/>
    <x v="1"/>
    <x v="3"/>
    <s v="Yes"/>
    <s v="Yes"/>
    <s v="Yes"/>
    <s v="Yes"/>
    <s v="No"/>
    <s v="Yes"/>
    <s v="I don't know / Prefer not to say"/>
    <x v="3"/>
    <s v="-"/>
    <s v="Yes"/>
    <s v="Long process brought up bad memories after already suffering to B &amp; H for 12 months. Told things admirable cos out of the timeframe but how is this fair when you are trying to put yourself back together and don’t have the energy to complete it in three months. No fucks given by the people investigating. Until people are hung out to dry and punished for B&amp;H how do you expect it to not continue. Punish people, make examples of them rather trying to mend the situation by repairing the persons career. Do that put hang the fucker/s out to dry! "/>
    <x v="4"/>
    <s v="I don't know / Prefer not to say/ I am not the complainant"/>
    <x v="7"/>
    <s v="No"/>
    <s v="Dissatisfied"/>
    <s v="-"/>
    <s v="-"/>
    <s v="-"/>
    <s v="-"/>
    <s v="-"/>
    <s v="-"/>
    <s v="-"/>
  </r>
  <r>
    <n v="174808910"/>
    <n v="128"/>
    <s v="90.248.205.52"/>
    <m/>
    <n v="44456"/>
    <n v="0.79646855324074073"/>
    <n v="44456"/>
    <n v="0.79979479166666667"/>
    <s v="Completed"/>
    <m/>
    <x v="0"/>
    <s v="Chain of Command"/>
    <s v="No"/>
    <s v="No"/>
    <s v="No"/>
    <s v="No"/>
    <x v="3"/>
    <s v="No"/>
    <s v="No"/>
    <s v="No"/>
    <s v="No"/>
    <s v="-"/>
    <x v="4"/>
    <s v="-"/>
    <s v="-"/>
    <s v="-"/>
    <x v="4"/>
    <x v="4"/>
    <s v="-"/>
    <s v="-"/>
    <s v="-"/>
    <s v="-"/>
    <s v="-"/>
    <s v="-"/>
    <s v="-"/>
    <x v="0"/>
    <s v="-"/>
    <s v="-"/>
    <s v="-"/>
    <x v="0"/>
    <s v="-"/>
    <x v="0"/>
    <s v="-"/>
    <s v="-"/>
    <s v="Not having been through it, but heard the anecdotes;_x000a_Under resourced - no HIOs available leading to delay._x000a_Should be dealt with independently, not from within the CoC/Unit._x000a_Lack of expertise/knowledge of HIO (not reading policy, and instead relying on witness testimony)._x000a_All consuming for the CoC/respondant._x000a_Not objective or fair_x000a_Very little redress available; even an apology will not happen."/>
    <s v="-"/>
    <s v="-"/>
    <s v="-"/>
    <s v="-"/>
    <s v="Female"/>
    <s v="White"/>
  </r>
  <r>
    <n v="174809164"/>
    <n v="129"/>
    <s v="2a02:21b0:644d:a85e:adf6:b5fc:befb:e8cf"/>
    <m/>
    <n v="44456"/>
    <n v="0.80099456018518522"/>
    <n v="44456"/>
    <n v="0.80270462962962963"/>
    <s v="Completed"/>
    <m/>
    <x v="0"/>
    <s v="Colleague or friend"/>
    <s v="No"/>
    <s v="Yes"/>
    <s v="Yes"/>
    <s v="No"/>
    <x v="3"/>
    <s v="No"/>
    <s v="No"/>
    <s v="No"/>
    <s v="No"/>
    <s v="-"/>
    <x v="4"/>
    <s v="-"/>
    <s v="-"/>
    <s v="-"/>
    <x v="4"/>
    <x v="4"/>
    <s v="-"/>
    <s v="-"/>
    <s v="-"/>
    <s v="-"/>
    <s v="-"/>
    <s v="-"/>
    <s v="-"/>
    <x v="0"/>
    <s v="-"/>
    <s v="-"/>
    <s v="-"/>
    <x v="0"/>
    <s v="-"/>
    <x v="0"/>
    <s v="-"/>
    <s v="-"/>
    <s v="Totally unfair system. Biased to the CoC and not the complainant. Influenced by the Masonic lodge and by close relationships between defending officers and investigating officers. "/>
    <s v="British Army"/>
    <s v="Regular (inc. veteran and retired regulars)"/>
    <s v="-"/>
    <s v="Prefer not to answer"/>
    <s v="Prefer not to answer"/>
    <s v="Prefer not to answer"/>
  </r>
  <r>
    <n v="174809357"/>
    <n v="130"/>
    <s v="2a00:23c4:a918:ff01:24e4:9360:d002:639d"/>
    <m/>
    <n v="44456"/>
    <n v="0.80487658564814824"/>
    <n v="44456"/>
    <n v="0.8072851504629629"/>
    <s v="Completed"/>
    <m/>
    <x v="1"/>
    <s v="-"/>
    <s v="-"/>
    <s v="-"/>
    <s v="-"/>
    <s v="-"/>
    <x v="0"/>
    <s v="No"/>
    <s v="No"/>
    <s v="No"/>
    <s v="Yes"/>
    <s v="Chain of command"/>
    <x v="3"/>
    <s v="No"/>
    <s v="Yes"/>
    <s v="Yes"/>
    <x v="2"/>
    <x v="2"/>
    <s v="-"/>
    <s v="-"/>
    <s v="Yes"/>
    <s v="Yes"/>
    <s v="No"/>
    <s v="Yes"/>
    <s v="I don't know / Prefer not to say"/>
    <x v="0"/>
    <s v="Everything runs late and takes a long time. I was a respondent, but I was made to feel like I had done something wrong before any investigation, it is an unpleasant and stressful experience and I feel that those involved should do more to reduce stress levels."/>
    <s v="Yes"/>
    <s v="As above , I felt under stress and pressure just by being named in the complaint. "/>
    <x v="5"/>
    <s v="-"/>
    <x v="6"/>
    <s v="I don't know / Prefer not to say"/>
    <s v="-"/>
    <s v="-"/>
    <s v="-"/>
    <s v="-"/>
    <s v="-"/>
    <s v="-"/>
    <s v="-"/>
    <s v="-"/>
  </r>
  <r>
    <n v="174810003"/>
    <n v="131"/>
    <s v="158.176.165.100"/>
    <m/>
    <n v="44456"/>
    <n v="0.81689849537037029"/>
    <n v="44456"/>
    <n v="0.82986458333333335"/>
    <s v="Completed"/>
    <m/>
    <x v="1"/>
    <s v="-"/>
    <s v="-"/>
    <s v="-"/>
    <s v="-"/>
    <s v="-"/>
    <x v="2"/>
    <s v="No"/>
    <s v="No"/>
    <s v="No"/>
    <s v="Yes"/>
    <s v="Chain of command"/>
    <x v="2"/>
    <s v="No"/>
    <s v="Yes"/>
    <s v="No"/>
    <x v="1"/>
    <x v="1"/>
    <s v="-"/>
    <s v="-"/>
    <s v="-"/>
    <s v="-"/>
    <s v="-"/>
    <s v="-"/>
    <s v="-"/>
    <x v="0"/>
    <s v="-"/>
    <s v="-"/>
    <s v="-"/>
    <x v="0"/>
    <s v="-"/>
    <x v="0"/>
    <s v="-"/>
    <s v="-"/>
    <s v="The system is dreadfully bureaucratic, long winded, overwhelming prioritises the complainant over the respondent. Allow the chain of command at an appropriate level to decide on complaints without further recourse. "/>
    <s v="British Army"/>
    <s v="Regular (inc. veteran and retired regulars)"/>
    <s v="Officer"/>
    <s v="40-49"/>
    <s v="Male"/>
    <s v="White"/>
  </r>
  <r>
    <n v="174810796"/>
    <n v="132"/>
    <s v="84.65.225.5"/>
    <m/>
    <n v="44456"/>
    <n v="0.83196932870370377"/>
    <n v="44456"/>
    <n v="0.84415173611111116"/>
    <s v="Completed"/>
    <m/>
    <x v="1"/>
    <s v="-"/>
    <s v="-"/>
    <s v="-"/>
    <s v="-"/>
    <s v="-"/>
    <x v="2"/>
    <s v="No"/>
    <s v="No"/>
    <s v="No"/>
    <s v="No"/>
    <s v="Online search"/>
    <x v="2"/>
    <s v="No"/>
    <s v="No"/>
    <s v="No"/>
    <x v="0"/>
    <x v="3"/>
    <s v="No"/>
    <s v="Yes"/>
    <s v="Yes"/>
    <s v="Yes"/>
    <s v="No"/>
    <s v="No"/>
    <s v="No"/>
    <x v="2"/>
    <s v="1 Investigating officers being in the same unit. Same capbadge and part of the CoC._x000a_2 Inappropriate behaviour of investigating officer._x000a_3 Inappropriate questions by IO and conflict with knowing involved personnel._x000a_4 IO complaining about their career and the impact of time of the SC. _x000a_5 Extreme length in time to resolve, years._x000a_6 Inadequate AO with no time to provide._x000a_7 Not being updated on time and regularly._x000a_8 confidentiality not upheld._x000a_9 long term affects on complainant _x000a_10 due to time SC takes career impact_x000a_12 due to time takes assignment and change of AOs _x000a_13 due to time SC takes additional stress"/>
    <s v="Yes"/>
    <s v="Traumatic experiences being revisited during investigation resulting in requiring treatment. _x000a_IO involving external parties in confidential information causing stress and anxiety to SP. _x000a_Stress of ongoing sc that required high amount of interaction and evidence provided with very little help. _x000a_The length of time causing significant ongoing causing stress._x000a_Bias being repeated in investigations by IO that is assigned but is not harassment and discrimination trained. "/>
    <x v="4"/>
    <s v="Yes"/>
    <x v="5"/>
    <s v="No"/>
    <s v="Dissatisfied"/>
    <s v="The SC and investigation should be conduct by unbiased external agencies. The SC process it self is subject to bias, lies, inappropriate behaviour, bullying and harassment. It is a major failing within the services to self investigate and self regulate and should be abolished. "/>
    <s v="British Army"/>
    <s v="Regular (inc. veteran and retired regulars)"/>
    <s v="Non Commissioned Officers/Warrant Officers and equivalent rank"/>
    <s v="30-39"/>
    <s v="Prefer not to answer"/>
    <s v="White"/>
  </r>
  <r>
    <n v="174811916"/>
    <n v="133"/>
    <s v="2a02:c7e:6d1:bf00:8485:4841:8708:aed4"/>
    <m/>
    <n v="44456"/>
    <n v="0.85425077546296302"/>
    <n v="44456"/>
    <n v="0.85706400462962973"/>
    <s v="Completed"/>
    <m/>
    <x v="0"/>
    <s v="Training"/>
    <s v="No"/>
    <s v="Yes"/>
    <s v="Yes"/>
    <s v="No"/>
    <x v="3"/>
    <s v="No"/>
    <s v="No"/>
    <s v="No"/>
    <s v="No"/>
    <s v="-"/>
    <x v="4"/>
    <s v="-"/>
    <s v="-"/>
    <s v="-"/>
    <x v="4"/>
    <x v="4"/>
    <s v="-"/>
    <s v="-"/>
    <s v="-"/>
    <s v="-"/>
    <s v="-"/>
    <s v="-"/>
    <s v="-"/>
    <x v="0"/>
    <s v="-"/>
    <s v="-"/>
    <s v="-"/>
    <x v="0"/>
    <s v="-"/>
    <x v="0"/>
    <s v="-"/>
    <s v="-"/>
    <s v="SP need to have more of an understanding of what a service complaint is for. When I was SSA there were a number of SP trying to put a complaint in because of not promoting or missing courses at their own mistake. I felt that SP felt putting a complaint in would get their own way. On the flip side, I saw complaints go through for the right reason and rightly got the correct outcome."/>
    <s v="British Army"/>
    <s v="Regular (inc. veteran and retired regulars)"/>
    <s v="Non Commissioned Officers/Warrant Officers and equivalent rank"/>
    <s v="30-39"/>
    <s v="Female"/>
    <s v="White"/>
  </r>
  <r>
    <n v="174812673"/>
    <n v="134"/>
    <s v="81.97.230.192"/>
    <m/>
    <n v="44456"/>
    <n v="0.87093040509259267"/>
    <n v="44456"/>
    <n v="0.873432638888889"/>
    <s v="Completed"/>
    <m/>
    <x v="0"/>
    <s v="I did not know about SCOAF before this visit was announced"/>
    <s v="No"/>
    <s v="No"/>
    <s v="No"/>
    <s v="No"/>
    <x v="3"/>
    <s v="No"/>
    <s v="No"/>
    <s v="No"/>
    <s v="No"/>
    <s v="-"/>
    <x v="4"/>
    <s v="-"/>
    <s v="-"/>
    <s v="-"/>
    <x v="4"/>
    <x v="4"/>
    <s v="-"/>
    <s v="-"/>
    <s v="-"/>
    <s v="-"/>
    <s v="-"/>
    <s v="-"/>
    <s v="-"/>
    <x v="0"/>
    <s v="-"/>
    <s v="-"/>
    <s v="-"/>
    <x v="0"/>
    <s v="-"/>
    <x v="0"/>
    <s v="-"/>
    <s v="-"/>
    <s v="Over the last couple of years I was bullied at my old unit and once I did a bit of digging I found info- also I wasn’t sure if I complained if it would help or make things worse "/>
    <s v="British Army"/>
    <s v="Reservist (inc. veteran and retired reservist)"/>
    <s v="Private and equivalent rank"/>
    <s v="40-49"/>
    <s v="Female"/>
    <s v="White"/>
  </r>
  <r>
    <n v="174812693"/>
    <n v="135"/>
    <s v="213.205.192.171"/>
    <m/>
    <n v="44456"/>
    <n v="0.87152245370370374"/>
    <n v="44456"/>
    <n v="0.87597878472222224"/>
    <s v="Completed"/>
    <m/>
    <x v="1"/>
    <s v="-"/>
    <s v="-"/>
    <s v="-"/>
    <s v="-"/>
    <s v="-"/>
    <x v="2"/>
    <s v="Yes"/>
    <s v="No"/>
    <s v="No"/>
    <s v="No"/>
    <s v="Colleague or friend"/>
    <x v="0"/>
    <s v="No"/>
    <s v="No"/>
    <s v="No"/>
    <x v="1"/>
    <x v="3"/>
    <s v="No"/>
    <s v="No"/>
    <s v="No"/>
    <s v="Yes"/>
    <s v="No"/>
    <s v="I don't know / Prefer not to say"/>
    <s v="No"/>
    <x v="2"/>
    <s v="Too slow at initial complaint &amp; then slow with Ombudsman. Delays reduced outcome impact. "/>
    <s v="Yes"/>
    <s v="Mental, physical. Life everything. If quicker, less impact. "/>
    <x v="2"/>
    <s v="No"/>
    <x v="5"/>
    <s v="No"/>
    <s v="Dissatisfied"/>
    <s v="Outcome said what it should have said but delay meant No impact"/>
    <s v="British Army"/>
    <s v="Regular (inc. veteran and retired regulars)"/>
    <s v="Officer"/>
    <s v="30-39"/>
    <s v="Female"/>
    <s v="White"/>
  </r>
  <r>
    <n v="174812646"/>
    <n v="136"/>
    <s v="79.79.147.77"/>
    <m/>
    <n v="44456"/>
    <n v="0.87030795138888895"/>
    <n v="44456"/>
    <n v="0.87815752314814821"/>
    <s v="Completed"/>
    <m/>
    <x v="1"/>
    <s v="-"/>
    <s v="-"/>
    <s v="-"/>
    <s v="-"/>
    <s v="-"/>
    <x v="2"/>
    <s v="No"/>
    <s v="No"/>
    <s v="No"/>
    <s v="Yes"/>
    <s v="Online search"/>
    <x v="2"/>
    <s v="No"/>
    <s v="No"/>
    <s v="No"/>
    <x v="1"/>
    <x v="3"/>
    <s v="Yes"/>
    <s v="Yes"/>
    <s v="Yes"/>
    <s v="Yes"/>
    <s v="No"/>
    <s v="Yes"/>
    <s v="No"/>
    <x v="1"/>
    <s v="Yes. The whole process took about two &amp; a half years - enough time to allow the subject to be promoted twice! The complaint was handled by someone in the reporting chain of the subject and done by someone of the same rank. The whole thing stank and was a stitch up! Finally, the ombudsman rules it out of time when it quite clearly wasn’t. Disgraceful from start to finish. "/>
    <s v="Yes"/>
    <s v="Already struggling with stress and anxiety due to the actions of the individual, the extraordinary time it took to complete just made things go from bad to worse. "/>
    <x v="0"/>
    <s v="Yes"/>
    <x v="5"/>
    <s v="No"/>
    <s v="Dissatisfied"/>
    <s v="It took too long. _x000a_Some of my ‘witnesses’ were too afraid to commit to assisting as they are frightened of the man who the complaint was about. _x000a_I am now treated as a pariah by those that know I complained about the individual - he was a Lt Col at the time and is now a Brigadier. "/>
    <s v="British Army"/>
    <s v="Regular (inc. veteran and retired regulars)"/>
    <s v="Officer"/>
    <s v="50+"/>
    <s v="Male"/>
    <s v="White"/>
  </r>
  <r>
    <n v="174813118"/>
    <n v="137"/>
    <s v="146.70.59.157"/>
    <m/>
    <n v="44456"/>
    <n v="0.88125304398148152"/>
    <n v="44456"/>
    <n v="0.8833367708333334"/>
    <s v="Completed"/>
    <m/>
    <x v="0"/>
    <s v="I did not know about SCOAF before this visit was announced"/>
    <s v="No"/>
    <s v="Yes"/>
    <s v="No"/>
    <s v="No"/>
    <x v="3"/>
    <s v="No"/>
    <s v="No"/>
    <s v="No"/>
    <s v="No"/>
    <s v="-"/>
    <x v="4"/>
    <s v="-"/>
    <s v="-"/>
    <s v="-"/>
    <x v="4"/>
    <x v="4"/>
    <s v="-"/>
    <s v="-"/>
    <s v="-"/>
    <s v="-"/>
    <s v="-"/>
    <s v="-"/>
    <s v="-"/>
    <x v="0"/>
    <s v="-"/>
    <s v="-"/>
    <s v="-"/>
    <x v="0"/>
    <s v="-"/>
    <x v="0"/>
    <s v="-"/>
    <s v="-"/>
    <s v="As a retired Officer named as respondent to a complaint the communications and access to support is lacking"/>
    <s v="British Army"/>
    <s v="Regular (inc. veteran and retired regulars)"/>
    <s v="Officer"/>
    <s v="50+"/>
    <s v="Female"/>
    <s v="White"/>
  </r>
  <r>
    <n v="174812841"/>
    <n v="138"/>
    <s v="92.10.102.137"/>
    <m/>
    <n v="44456"/>
    <n v="0.87516322916666667"/>
    <n v="44456"/>
    <n v="0.8884554745370371"/>
    <s v="Completed"/>
    <m/>
    <x v="0"/>
    <s v="I did not know about SCOAF before this visit was announced"/>
    <s v="No"/>
    <s v="No"/>
    <s v="I didn't know that the Ombudsman existed/ I prefer not to say"/>
    <s v="No"/>
    <x v="3"/>
    <s v="No"/>
    <s v="No"/>
    <s v="No"/>
    <s v="No"/>
    <s v="-"/>
    <x v="4"/>
    <s v="-"/>
    <s v="-"/>
    <s v="-"/>
    <x v="4"/>
    <x v="4"/>
    <s v="-"/>
    <s v="-"/>
    <s v="-"/>
    <s v="-"/>
    <s v="-"/>
    <s v="-"/>
    <s v="-"/>
    <x v="0"/>
    <s v="-"/>
    <s v="-"/>
    <s v="-"/>
    <x v="0"/>
    <s v="-"/>
    <x v="0"/>
    <s v="-"/>
    <s v="-"/>
    <s v="Being able to call someone impartial for advice prior to even  putting a complaint in would be good"/>
    <s v="British Army"/>
    <s v="Reservist (inc. veteran and retired reservist)"/>
    <s v="Officer"/>
    <s v="30-39"/>
    <s v="Female"/>
    <s v="White"/>
  </r>
  <r>
    <n v="174813585"/>
    <n v="139"/>
    <s v="1.146.54.250"/>
    <m/>
    <n v="44456"/>
    <n v="0.89300980324074075"/>
    <n v="44456"/>
    <n v="0.89555725694444444"/>
    <s v="Completed"/>
    <m/>
    <x v="1"/>
    <s v="-"/>
    <s v="-"/>
    <s v="-"/>
    <s v="-"/>
    <s v="-"/>
    <x v="2"/>
    <s v="No"/>
    <s v="Yes"/>
    <s v="No"/>
    <s v="No"/>
    <s v="Online search"/>
    <x v="0"/>
    <s v="Yes"/>
    <s v="No"/>
    <s v="No"/>
    <x v="1"/>
    <x v="0"/>
    <s v="-"/>
    <s v="-"/>
    <s v="-"/>
    <s v="-"/>
    <s v="-"/>
    <s v="-"/>
    <s v="-"/>
    <x v="0"/>
    <s v="-"/>
    <s v="-"/>
    <s v="-"/>
    <x v="0"/>
    <s v="-"/>
    <x v="0"/>
    <s v="-"/>
    <s v="-"/>
    <s v="I do not feel it right for the DB to paraphrase the annex F to determine heads of complaint without the HOC(s) being acknowledged or approved by the complainant. "/>
    <s v="British Army"/>
    <s v="Regular (inc. veteran and retired regulars)"/>
    <s v="Officer"/>
    <s v="30-39"/>
    <s v="Male"/>
    <s v="White"/>
  </r>
  <r>
    <n v="174813947"/>
    <n v="140"/>
    <s v="2a00:23c6:5d01:ad01:d67:3fbb:aa82:99dd"/>
    <m/>
    <n v="44456"/>
    <n v="0.90244089120370363"/>
    <n v="44456"/>
    <n v="0.90320177083333331"/>
    <s v="Completed"/>
    <m/>
    <x v="0"/>
    <s v="I did not know about SCOAF before this visit was announced"/>
    <s v="I haven't sought any information on SCOAF"/>
    <s v="Yes"/>
    <s v="No"/>
    <s v="No"/>
    <x v="3"/>
    <s v="No"/>
    <s v="No"/>
    <s v="No"/>
    <s v="No"/>
    <s v="-"/>
    <x v="4"/>
    <s v="-"/>
    <s v="-"/>
    <s v="-"/>
    <x v="4"/>
    <x v="4"/>
    <s v="-"/>
    <s v="-"/>
    <s v="-"/>
    <s v="-"/>
    <s v="-"/>
    <s v="-"/>
    <s v="-"/>
    <x v="0"/>
    <s v="-"/>
    <s v="-"/>
    <s v="-"/>
    <x v="0"/>
    <s v="-"/>
    <x v="0"/>
    <s v="-"/>
    <s v="-"/>
    <s v="-"/>
    <s v="British Army"/>
    <s v="Reservist (inc. veteran and retired reservist)"/>
    <s v="Officer"/>
    <s v="40-49"/>
    <s v="Female"/>
    <s v="White"/>
  </r>
  <r>
    <n v="174814962"/>
    <n v="141"/>
    <s v="2a00:23c4:c289:3401:34d9:8f87:bbba:da68"/>
    <m/>
    <n v="44456"/>
    <n v="0.93216369212962968"/>
    <n v="44456"/>
    <n v="0.93319008101851841"/>
    <s v="Completed"/>
    <m/>
    <x v="1"/>
    <s v="-"/>
    <s v="-"/>
    <s v="-"/>
    <s v="-"/>
    <s v="-"/>
    <x v="2"/>
    <s v="Yes"/>
    <s v="No"/>
    <s v="No"/>
    <s v="No"/>
    <s v="Chain of command"/>
    <x v="0"/>
    <s v="No"/>
    <s v="Yes"/>
    <s v="Yes"/>
    <x v="1"/>
    <x v="1"/>
    <s v="-"/>
    <s v="-"/>
    <s v="-"/>
    <s v="-"/>
    <s v="-"/>
    <s v="-"/>
    <s v="-"/>
    <x v="0"/>
    <s v="-"/>
    <s v="-"/>
    <s v="-"/>
    <x v="0"/>
    <s v="-"/>
    <x v="0"/>
    <s v="-"/>
    <s v="-"/>
    <s v="-"/>
    <s v="British Army"/>
    <s v="Regular (inc. veteran and retired regulars)"/>
    <s v="Officer"/>
    <s v="30-39"/>
    <s v="Female"/>
    <s v="White"/>
  </r>
  <r>
    <n v="174816114"/>
    <n v="142"/>
    <s v="86.30.76.205"/>
    <m/>
    <n v="44456"/>
    <n v="0.97573788194444455"/>
    <n v="44456"/>
    <n v="0.9788224884259259"/>
    <s v="Completed"/>
    <m/>
    <x v="0"/>
    <s v="Colleague or friend"/>
    <s v="No"/>
    <s v="Yes"/>
    <s v="No"/>
    <s v="No"/>
    <x v="3"/>
    <s v="No"/>
    <s v="No"/>
    <s v="No"/>
    <s v="No"/>
    <s v="-"/>
    <x v="4"/>
    <s v="-"/>
    <s v="-"/>
    <s v="-"/>
    <x v="4"/>
    <x v="4"/>
    <s v="-"/>
    <s v="-"/>
    <s v="-"/>
    <s v="-"/>
    <s v="-"/>
    <s v="-"/>
    <s v="-"/>
    <x v="0"/>
    <s v="-"/>
    <s v="-"/>
    <s v="-"/>
    <x v="0"/>
    <s v="-"/>
    <x v="0"/>
    <s v="-"/>
    <s v="-"/>
    <s v="This complaints procedure &amp; their personalities have been hand picked by the MOD to limited damaged caused. It really is a case of marking your own homework, just like those members say of the Defence Select committee. "/>
    <s v="British Army"/>
    <s v="Regular (inc. veteran and retired regulars)"/>
    <s v="Non Commissioned Officers/Warrant Officers and equivalent rank"/>
    <s v="Prefer not to answer"/>
    <s v="Male"/>
    <s v="White"/>
  </r>
  <r>
    <n v="174816016"/>
    <n v="143"/>
    <s v="87.74.9.233"/>
    <m/>
    <n v="44456"/>
    <n v="0.97189244212962966"/>
    <n v="44456"/>
    <n v="0.985312962962963"/>
    <s v="Completed"/>
    <m/>
    <x v="1"/>
    <s v="-"/>
    <s v="-"/>
    <s v="-"/>
    <s v="-"/>
    <s v="-"/>
    <x v="1"/>
    <s v="No"/>
    <s v="No"/>
    <s v="No"/>
    <s v="Yes"/>
    <s v="Other"/>
    <x v="2"/>
    <s v="No"/>
    <s v="No"/>
    <s v="No"/>
    <x v="1"/>
    <x v="2"/>
    <s v="-"/>
    <s v="-"/>
    <s v="No"/>
    <s v="Yes"/>
    <s v="No"/>
    <s v="No"/>
    <s v="No"/>
    <x v="0"/>
    <s v="Wow - where do I start? Investigating officer identified that 11Bde held a copy of a tape that demonstrates that the complainant had lied in an official report. They refused to release it - even after Army legal adviser them to release it. Deciding officer (who is a close pal of the complainant) made no effort to get the tape and is pressing on with a decision, merrily looking the other way. What is the oversight, the quality control, the holding to account? What are you doing all day?"/>
    <s v="Yes"/>
    <s v="The process is stressful and works on presumption of guilt for the respondent - policy documents even spell this out and there is no equality of support, treatment or rights netween the respondent and the complainant. Being subject to a Kafka style nightmare of a petty, incompetent and corrupt kangaroo courts is hugely damaging to personal and familly life, and is a large part of why I am now leaving. It doesn't even .matter that the investigating officer found no evidence of wrong doing, after 9 months of dead slow investigation, slurs and suspicion, the damage is done. And the complainand will get away Scot free with making a baseless and false allegation of sex discrimination for calling her out on her entirely gender free incompetence. You will probably thank her for her trouble too, such is your keeness to believe any old nonsense."/>
    <x v="2"/>
    <s v="-"/>
    <x v="6"/>
    <s v="-"/>
    <s v="Dissatisfied"/>
    <s v="-"/>
    <s v="-"/>
    <s v="-"/>
    <s v="-"/>
    <s v="-"/>
    <s v="-"/>
    <s v="-"/>
  </r>
  <r>
    <n v="174818712"/>
    <n v="144"/>
    <s v="148.252.129.86"/>
    <m/>
    <n v="44457"/>
    <n v="0.29196342592592589"/>
    <n v="44457"/>
    <n v="0.29674221064814815"/>
    <s v="Completed"/>
    <m/>
    <x v="1"/>
    <s v="-"/>
    <s v="-"/>
    <s v="-"/>
    <s v="-"/>
    <s v="-"/>
    <x v="5"/>
    <s v="No"/>
    <s v="No"/>
    <s v="Yes"/>
    <s v="No"/>
    <s v="Service Welfare/ support"/>
    <x v="2"/>
    <s v="No"/>
    <s v="No"/>
    <s v="No"/>
    <x v="1"/>
    <x v="3"/>
    <s v="No"/>
    <s v="No"/>
    <s v="No"/>
    <s v="Yes"/>
    <s v="No"/>
    <s v="No"/>
    <s v="Yes"/>
    <x v="1"/>
    <s v="The first assigned Assisting Officer told all of my divisional staff about my complaint and slagged me off causing a hostile workplace "/>
    <s v="Yes"/>
    <s v="The military in general has affected my mental health and made me feel depressed._x000a__x000a_The fact that the complaints procedure has failed me in terms of not keeping anonymity with colleagues and being delegated to individuals with biased opinions - the system is set up to fail."/>
    <x v="2"/>
    <s v="Yes"/>
    <x v="4"/>
    <s v="No"/>
    <s v="Dissatisfied"/>
    <s v="-"/>
    <s v="-"/>
    <s v="-"/>
    <s v="-"/>
    <s v="-"/>
    <s v="-"/>
    <s v="-"/>
  </r>
  <r>
    <n v="174818718"/>
    <n v="145"/>
    <s v="95.144.105.205"/>
    <m/>
    <n v="44457"/>
    <n v="0.29244788194444443"/>
    <n v="44457"/>
    <n v="0.29779722222222221"/>
    <s v="Completed"/>
    <m/>
    <x v="1"/>
    <s v="-"/>
    <s v="-"/>
    <s v="-"/>
    <s v="-"/>
    <s v="-"/>
    <x v="0"/>
    <s v="Yes"/>
    <s v="Yes"/>
    <s v="No"/>
    <s v="No"/>
    <s v="Service Welfare/ support"/>
    <x v="3"/>
    <s v="No"/>
    <s v="No"/>
    <s v="I don't think this applies to me/ I prefer not to say"/>
    <x v="1"/>
    <x v="3"/>
    <s v="I don't know / Prefer not to say"/>
    <s v="Yes"/>
    <s v="Yes"/>
    <s v="Yes"/>
    <s v="No"/>
    <s v="No"/>
    <s v="No"/>
    <x v="1"/>
    <s v="It is a self licking lollipop with individuals just closing ranks"/>
    <s v="Yes"/>
    <s v="Stress_x000a_Lack of sleep_x000a_Required counselling "/>
    <x v="1"/>
    <s v="No"/>
    <x v="5"/>
    <s v="No"/>
    <s v="Dissatisfied"/>
    <s v="Biased towards those being complained about. Dishonest and the Respondent has little chance of making the system change biased behaviour. I am fairly senior and the process nearly broke me and has left a very bitter feeling. Offered solution laughable , reapply for my own job and be sifted by the same individuals who I had complained about! I did not reapply "/>
    <s v="Royal Air Force"/>
    <s v="Reservist (inc. veteran and retired reservist)"/>
    <s v="Officer"/>
    <s v="50+"/>
    <s v="Male"/>
    <s v="White"/>
  </r>
  <r>
    <n v="174819263"/>
    <n v="146"/>
    <s v="51.9.159.16"/>
    <m/>
    <n v="44457"/>
    <n v="0.31744325231481479"/>
    <n v="44457"/>
    <n v="0.32210987268518521"/>
    <s v="Completed"/>
    <m/>
    <x v="1"/>
    <s v="-"/>
    <s v="-"/>
    <s v="-"/>
    <s v="-"/>
    <s v="-"/>
    <x v="1"/>
    <s v="Yes"/>
    <s v="No"/>
    <s v="No"/>
    <s v="No"/>
    <s v="Other"/>
    <x v="1"/>
    <s v="No"/>
    <s v="I don't know/ I prefer not to say"/>
    <s v="No"/>
    <x v="1"/>
    <x v="0"/>
    <s v="-"/>
    <s v="-"/>
    <s v="-"/>
    <s v="-"/>
    <s v="-"/>
    <s v="-"/>
    <s v="-"/>
    <x v="0"/>
    <s v="-"/>
    <s v="-"/>
    <s v="-"/>
    <x v="0"/>
    <s v="-"/>
    <x v="0"/>
    <s v="-"/>
    <s v="-"/>
    <s v="1. This survey is terribly written and won't give you realistic view if the issues. _x000a__x000a_2. Complaints aligned with chain of command shouldn't be happening. Unfair, DB already prejudiced and too much bias in the process.  The CO recognised this in our case and asked NCHQ to assign a DB. _x000a__x000a_3. DB has no expertise in the area being complained about (which doesn't fit into your list asked in the survey). Finding sqep people to investigate the complaint is proving difficult so 4 months after submitted and no further on."/>
    <s v="Royal Navy"/>
    <s v="Regular (inc. veteran and retired regulars)"/>
    <s v="Officer"/>
    <s v="40-49"/>
    <s v="Female"/>
    <s v="White"/>
  </r>
  <r>
    <n v="174820267"/>
    <n v="147"/>
    <s v="217.146.29.75"/>
    <m/>
    <n v="44457"/>
    <n v="0.35024186342592589"/>
    <n v="44457"/>
    <n v="0.35423263888888884"/>
    <s v="Completed"/>
    <m/>
    <x v="1"/>
    <s v="-"/>
    <s v="-"/>
    <s v="-"/>
    <s v="-"/>
    <s v="-"/>
    <x v="2"/>
    <s v="Yes"/>
    <s v="Yes"/>
    <s v="Yes"/>
    <s v="No"/>
    <s v="Colleague or friend"/>
    <x v="2"/>
    <s v="No"/>
    <s v="No"/>
    <s v="No"/>
    <x v="1"/>
    <x v="0"/>
    <s v="-"/>
    <s v="-"/>
    <s v="-"/>
    <s v="-"/>
    <s v="-"/>
    <s v="-"/>
    <s v="-"/>
    <x v="0"/>
    <s v="-"/>
    <s v="-"/>
    <s v="-"/>
    <x v="0"/>
    <s v="-"/>
    <x v="0"/>
    <s v="-"/>
    <s v="-"/>
    <s v="As assisting officer to for the complainant the Chain of Command kept trying to use me to influence the complainant to withdraw their complaint. I had no training, I had nowhere to go for advice other than the chain of command - I was helpless for the complainant and as much as I tried I watched them suffer for such a ridiculously long time - we all knew the complaint was accurate but it was against one of the chosen so they were seen as bullet proof - such an unfair and biased system - it has affected me and I was really only in the periphery "/>
    <s v="Royal Air Force"/>
    <s v="Regular (inc. veteran and retired regulars)"/>
    <s v="Officer"/>
    <s v="30-39"/>
    <s v="Male"/>
    <s v="White"/>
  </r>
  <r>
    <n v="174826051"/>
    <n v="148"/>
    <s v="2a00:23c6:271c:4001:c024:75a0:eaa7:9713"/>
    <m/>
    <n v="44457"/>
    <n v="0.48000512731481476"/>
    <n v="44457"/>
    <n v="0.48483171296296296"/>
    <s v="Completed"/>
    <m/>
    <x v="1"/>
    <s v="-"/>
    <s v="-"/>
    <s v="-"/>
    <s v="-"/>
    <s v="-"/>
    <x v="2"/>
    <s v="Yes"/>
    <s v="Yes"/>
    <s v="No"/>
    <s v="No"/>
    <s v="Knowledge from a previous complaint"/>
    <x v="3"/>
    <s v="Yes"/>
    <s v="No"/>
    <s v="I don't think this applies to me/ I prefer not to say"/>
    <x v="2"/>
    <x v="2"/>
    <s v="-"/>
    <s v="-"/>
    <s v="No"/>
    <s v="No"/>
    <s v="I don't know / Prefer not to say"/>
    <s v="No"/>
    <s v="Yes"/>
    <x v="0"/>
    <s v="There was poor support for those who were respondents. They were expected to just get on with things. "/>
    <s v="Yes"/>
    <s v="The amount of stress on me as a respondent was huge. The complainant essentially fabricated evidence, character assassinated me at a pivotal point in my career and their complaint wasn’t upheld even after review. Yet nothing happens to this person even after they were found to be playing the system to their favour. There should be repercussions and serious investigation for malicious complaints or just picking a person to complain against because they want something else from the system. "/>
    <x v="4"/>
    <s v="-"/>
    <x v="1"/>
    <s v="No"/>
    <s v="Satisfied"/>
    <s v="-"/>
    <s v="-"/>
    <s v="-"/>
    <s v="-"/>
    <s v="-"/>
    <s v="-"/>
    <s v="-"/>
  </r>
  <r>
    <n v="174829833"/>
    <n v="149"/>
    <s v="109.249.184.158"/>
    <m/>
    <n v="44457"/>
    <n v="0.5582513541666666"/>
    <n v="44457"/>
    <n v="0.56000300925925928"/>
    <s v="Completed"/>
    <m/>
    <x v="0"/>
    <s v="Colleague or friend"/>
    <s v="No"/>
    <s v="Yes"/>
    <s v="No"/>
    <s v="No"/>
    <x v="3"/>
    <s v="No"/>
    <s v="No"/>
    <s v="No"/>
    <s v="No"/>
    <s v="-"/>
    <x v="4"/>
    <s v="-"/>
    <s v="-"/>
    <s v="-"/>
    <x v="4"/>
    <x v="4"/>
    <s v="-"/>
    <s v="-"/>
    <s v="-"/>
    <s v="-"/>
    <s v="-"/>
    <s v="-"/>
    <s v="-"/>
    <x v="0"/>
    <s v="-"/>
    <s v="-"/>
    <s v="-"/>
    <x v="0"/>
    <s v="-"/>
    <x v="0"/>
    <s v="-"/>
    <s v="-"/>
    <s v="Need to reduce the perception that a complaint will kill your career…stops a lot from raising one. "/>
    <s v="British Army"/>
    <s v="Regular (inc. veteran and retired regulars)"/>
    <s v="Officer"/>
    <s v="30-39"/>
    <s v="Female"/>
    <s v="White"/>
  </r>
  <r>
    <n v="174837273"/>
    <n v="150"/>
    <s v="82.39.255.49"/>
    <m/>
    <n v="44457"/>
    <n v="0.74858182870370371"/>
    <n v="44457"/>
    <n v="0.75191508101851845"/>
    <s v="Completed"/>
    <m/>
    <x v="1"/>
    <s v="-"/>
    <s v="-"/>
    <s v="-"/>
    <s v="-"/>
    <s v="-"/>
    <x v="4"/>
    <s v="No"/>
    <s v="No"/>
    <s v="No"/>
    <s v="Yes"/>
    <s v="Other"/>
    <x v="2"/>
    <s v="No"/>
    <s v="No"/>
    <s v="No"/>
    <x v="1"/>
    <x v="3"/>
    <s v="Yes"/>
    <s v="No"/>
    <s v="No"/>
    <s v="No"/>
    <s v="No"/>
    <s v="No"/>
    <s v="No"/>
    <x v="1"/>
    <s v="Offered assist officer however, didn’t materialise. "/>
    <s v="Yes"/>
    <s v="Then obfuscation by the sc team had a major effect on my mental health. "/>
    <x v="2"/>
    <s v="Yes"/>
    <x v="4"/>
    <s v="No"/>
    <s v="Dissatisfied"/>
    <s v="-"/>
    <s v="-"/>
    <s v="-"/>
    <s v="-"/>
    <s v="-"/>
    <s v="-"/>
    <s v="-"/>
  </r>
  <r>
    <n v="174837643"/>
    <n v="151"/>
    <s v="2a00:23c7:5b04:8c00:d56c:881e:5b19:3178"/>
    <m/>
    <n v="44457"/>
    <n v="0.75969826388888884"/>
    <n v="44457"/>
    <n v="0.76516709490740731"/>
    <s v="Completed"/>
    <m/>
    <x v="1"/>
    <s v="-"/>
    <s v="-"/>
    <s v="-"/>
    <s v="-"/>
    <s v="-"/>
    <x v="1"/>
    <s v="Yes"/>
    <s v="No"/>
    <s v="No"/>
    <s v="No"/>
    <s v="Colleague or friend"/>
    <x v="2"/>
    <s v="No"/>
    <s v="No"/>
    <s v="I don't think this applies to me/ I prefer not to say"/>
    <x v="1"/>
    <x v="3"/>
    <s v="No"/>
    <s v="No"/>
    <s v="Yes"/>
    <s v="Yes"/>
    <s v="Yes"/>
    <s v="No"/>
    <s v="I don't know / Prefer not to say"/>
    <x v="1"/>
    <s v="-"/>
    <s v="Yes"/>
    <s v="-"/>
    <x v="5"/>
    <s v="I don't know / Prefer not to say/ I am not the complainant"/>
    <x v="5"/>
    <s v="No"/>
    <s v="Dissatisfied"/>
    <s v="The service complaint process is traumatising with CoC unsupportive and respondents are often offended by being a respondent even when it was a process/policy SC. This in turn lead them to be offensive and bitter in responses."/>
    <s v="British Army"/>
    <s v="Regular (inc. veteran and retired regulars)"/>
    <s v="Officer"/>
    <s v="30-39"/>
    <s v="Female"/>
    <s v="White"/>
  </r>
  <r>
    <n v="174838782"/>
    <n v="152"/>
    <s v="178.238.11.4"/>
    <m/>
    <n v="44457"/>
    <n v="0.79602268518518515"/>
    <n v="44457"/>
    <n v="0.79758553240740737"/>
    <s v="Completed"/>
    <m/>
    <x v="0"/>
    <s v="I did not know about SCOAF before this visit was announced"/>
    <s v="Yes"/>
    <s v="Yes"/>
    <s v="No"/>
    <s v="No"/>
    <x v="3"/>
    <s v="No"/>
    <s v="No"/>
    <s v="No"/>
    <s v="No"/>
    <s v="-"/>
    <x v="4"/>
    <s v="-"/>
    <s v="-"/>
    <s v="-"/>
    <x v="4"/>
    <x v="4"/>
    <s v="-"/>
    <s v="-"/>
    <s v="-"/>
    <s v="-"/>
    <s v="-"/>
    <s v="-"/>
    <s v="-"/>
    <x v="0"/>
    <s v="-"/>
    <s v="-"/>
    <s v="-"/>
    <x v="0"/>
    <s v="-"/>
    <x v="0"/>
    <s v="-"/>
    <s v="-"/>
    <s v="The system is flawed and_x000a_Is not transparent at all. Wish I hadn’t bothered"/>
    <s v="British Army"/>
    <s v="Regular (inc. veteran and retired regulars)"/>
    <s v="Private and equivalent rank"/>
    <s v="16-19"/>
    <s v="Male"/>
    <s v="White"/>
  </r>
  <r>
    <n v="174838748"/>
    <n v="153"/>
    <s v="2a01:4c8:41f:91ed:3d3a:3c12:5518:3a1d"/>
    <m/>
    <n v="44457"/>
    <n v="0.795392361111111"/>
    <n v="44457"/>
    <n v="0.79841843749999997"/>
    <s v="Completed"/>
    <m/>
    <x v="1"/>
    <s v="-"/>
    <s v="-"/>
    <s v="-"/>
    <s v="-"/>
    <s v="-"/>
    <x v="0"/>
    <s v="Yes"/>
    <s v="Yes"/>
    <s v="No"/>
    <s v="No"/>
    <s v="Other"/>
    <x v="2"/>
    <s v="No"/>
    <s v="No"/>
    <s v="No"/>
    <x v="0"/>
    <x v="0"/>
    <s v="-"/>
    <s v="-"/>
    <s v="-"/>
    <s v="-"/>
    <s v="-"/>
    <s v="-"/>
    <s v="-"/>
    <x v="0"/>
    <s v="-"/>
    <s v="-"/>
    <s v="-"/>
    <x v="0"/>
    <s v="-"/>
    <x v="0"/>
    <s v="-"/>
    <s v="-"/>
    <s v="Initial response from the DO was awful; we had to push push push to stay on timelines. SCOAF own response about undue delay was poor: citing leave periods as not undue delay but this doesn’t seem to be detailed anywhere no was this communicated. We got a 2* involved; the 2* was consistently lied to and fed misinformation about the status of the case or was given information we weren’t. "/>
    <s v="Royal Navy"/>
    <s v="Regular (inc. veteran and retired regulars)"/>
    <s v="Officer"/>
    <s v="40-49"/>
    <s v="Male"/>
    <s v="White"/>
  </r>
  <r>
    <n v="174839274"/>
    <n v="154"/>
    <s v="2a00:23c4:a91a:7e00:51f1:5df9:aaf6:7ec7"/>
    <m/>
    <n v="44457"/>
    <n v="0.81051929398148148"/>
    <n v="44457"/>
    <n v="0.81228379629629632"/>
    <s v="Completed"/>
    <m/>
    <x v="1"/>
    <s v="-"/>
    <s v="-"/>
    <s v="-"/>
    <s v="-"/>
    <s v="-"/>
    <x v="2"/>
    <s v="No"/>
    <s v="Yes"/>
    <s v="No"/>
    <s v="No"/>
    <s v="Online search"/>
    <x v="2"/>
    <s v="No"/>
    <s v="No"/>
    <s v="No"/>
    <x v="1"/>
    <x v="1"/>
    <s v="-"/>
    <s v="-"/>
    <s v="-"/>
    <s v="-"/>
    <s v="-"/>
    <s v="-"/>
    <s v="-"/>
    <x v="0"/>
    <s v="-"/>
    <s v="-"/>
    <s v="-"/>
    <x v="0"/>
    <s v="-"/>
    <x v="0"/>
    <s v="-"/>
    <s v="-"/>
    <s v="It is painfully slow, very bureaucratic and unhelpful when the person you are complaining about is in the CoC   "/>
    <s v="British Army"/>
    <s v="Regular (inc. veteran and retired regulars)"/>
    <s v="Officer"/>
    <s v="40-49"/>
    <s v="Female"/>
    <s v="White"/>
  </r>
  <r>
    <n v="174839712"/>
    <n v="155"/>
    <s v="2a00:23c6:e71b:3101:556b:7a5c:b8df:7f3e"/>
    <m/>
    <n v="44457"/>
    <n v="0.82369120370370374"/>
    <n v="44457"/>
    <n v="0.8271824884259259"/>
    <s v="Completed"/>
    <m/>
    <x v="1"/>
    <s v="-"/>
    <s v="-"/>
    <s v="-"/>
    <s v="-"/>
    <s v="-"/>
    <x v="0"/>
    <s v="Yes"/>
    <s v="Yes"/>
    <s v="No"/>
    <s v="No"/>
    <s v="Online search"/>
    <x v="2"/>
    <s v="No"/>
    <s v="No"/>
    <s v="No"/>
    <x v="1"/>
    <x v="3"/>
    <s v="No"/>
    <s v="Yes"/>
    <s v="Yes"/>
    <s v="Yes"/>
    <s v="Yes"/>
    <s v="No"/>
    <s v="I don't know / Prefer not to say"/>
    <x v="3"/>
    <s v="Long delays between communication from SO. Information withheld from me that caused stress as I didn’t know what was happening. Despite me pointing out the need for haste because of a short timeline there were delays at every stage of my complaint. After 2 months the investigation has yet to begin "/>
    <s v="Yes"/>
    <s v="Sleep is affected detrimentally, this impacts on all other aspects of my life"/>
    <x v="5"/>
    <s v="No"/>
    <x v="6"/>
    <s v="I don't know / Prefer not to say"/>
    <s v="Prefer not to say"/>
    <s v="-"/>
    <s v="-"/>
    <s v="-"/>
    <s v="-"/>
    <s v="-"/>
    <s v="-"/>
    <s v="-"/>
  </r>
  <r>
    <n v="174840105"/>
    <n v="156"/>
    <s v="84.66.248.10"/>
    <m/>
    <n v="44457"/>
    <n v="0.83718387731481492"/>
    <n v="44457"/>
    <n v="0.84013711805555558"/>
    <s v="Completed"/>
    <m/>
    <x v="1"/>
    <s v="-"/>
    <s v="-"/>
    <s v="-"/>
    <s v="-"/>
    <s v="-"/>
    <x v="2"/>
    <s v="No"/>
    <s v="No"/>
    <s v="No"/>
    <s v="Yes"/>
    <s v="Colleague or friend"/>
    <x v="2"/>
    <s v="No"/>
    <s v="No"/>
    <s v="No"/>
    <x v="1"/>
    <x v="0"/>
    <s v="-"/>
    <s v="-"/>
    <s v="-"/>
    <s v="-"/>
    <s v="-"/>
    <s v="-"/>
    <s v="-"/>
    <x v="0"/>
    <s v="-"/>
    <s v="-"/>
    <s v="-"/>
    <x v="0"/>
    <s v="-"/>
    <x v="0"/>
    <s v="-"/>
    <s v="-"/>
    <s v="The process is still undermined by the COC. I was told be a senior officer told me that putting in a SC is a career ended as the Army closes ranks. I’ve seen this happen where a Col racially bullied a Subordinate but nothing tangible happened after the complaint was investigated. Your are kidding yourselves if you think SC are transparent and fair. "/>
    <s v="British Army"/>
    <s v="Regular (inc. veteran and retired regulars)"/>
    <s v="Non Commissioned Officers/Warrant Officers and equivalent rank"/>
    <s v="40-49"/>
    <s v="Male"/>
    <s v="White"/>
  </r>
  <r>
    <n v="174840514"/>
    <n v="157"/>
    <s v="2a02:c7f:260d:da00:704d:53e9:21b8:a025"/>
    <m/>
    <n v="44457"/>
    <n v="0.85065370370370363"/>
    <n v="44457"/>
    <n v="0.85346195601851849"/>
    <s v="Completed"/>
    <m/>
    <x v="1"/>
    <s v="-"/>
    <s v="-"/>
    <s v="-"/>
    <s v="-"/>
    <s v="-"/>
    <x v="2"/>
    <s v="Yes"/>
    <s v="Yes"/>
    <s v="No"/>
    <s v="No"/>
    <s v="Training"/>
    <x v="3"/>
    <s v="No"/>
    <s v="No"/>
    <s v="No"/>
    <x v="1"/>
    <x v="2"/>
    <s v="I don't know / Prefer not to say"/>
    <s v="I don't know / Prefer not to say"/>
    <s v="I don't know / Prefer not to say"/>
    <s v="Yes"/>
    <s v="No"/>
    <s v="No"/>
    <s v="Yes"/>
    <x v="0"/>
    <s v="-"/>
    <s v="No"/>
    <s v="-"/>
    <x v="1"/>
    <s v="-"/>
    <x v="1"/>
    <s v="-"/>
    <s v="Neutral"/>
    <s v="-"/>
    <s v="-"/>
    <s v="-"/>
    <s v="-"/>
    <s v="-"/>
    <s v="-"/>
    <s v="-"/>
  </r>
  <r>
    <n v="174840838"/>
    <n v="158"/>
    <s v="82.1.37.4"/>
    <m/>
    <n v="44457"/>
    <n v="0.86117873842592596"/>
    <n v="44457"/>
    <n v="0.86561357638888892"/>
    <s v="Completed"/>
    <m/>
    <x v="1"/>
    <s v="-"/>
    <s v="-"/>
    <s v="-"/>
    <s v="-"/>
    <s v="-"/>
    <x v="2"/>
    <s v="No"/>
    <s v="No"/>
    <s v="No"/>
    <s v="Yes"/>
    <s v="Colleague or friend"/>
    <x v="2"/>
    <s v="No"/>
    <s v="No"/>
    <s v="No"/>
    <x v="1"/>
    <x v="3"/>
    <s v="Yes"/>
    <s v="No"/>
    <s v="No"/>
    <s v="No"/>
    <s v="-"/>
    <s v="No"/>
    <s v="No"/>
    <x v="1"/>
    <s v="The investigators were not independent from the chain of command as the respondents "/>
    <s v="Yes"/>
    <s v="Physical and mental health impacted signifIcantly as a result of engaging with the service complaints process. "/>
    <x v="2"/>
    <s v="Yes"/>
    <x v="4"/>
    <s v="No"/>
    <s v="Dissatisfied"/>
    <s v="-"/>
    <s v="-"/>
    <s v="-"/>
    <s v="-"/>
    <s v="-"/>
    <s v="-"/>
    <s v="-"/>
  </r>
  <r>
    <n v="174841894"/>
    <n v="159"/>
    <s v="2.97.240.145"/>
    <m/>
    <n v="44457"/>
    <n v="0.89038645833333341"/>
    <n v="44457"/>
    <n v="0.89241736111111114"/>
    <s v="Completed"/>
    <m/>
    <x v="1"/>
    <s v="-"/>
    <s v="-"/>
    <s v="-"/>
    <s v="-"/>
    <s v="-"/>
    <x v="2"/>
    <s v="Yes"/>
    <s v="No"/>
    <s v="No"/>
    <s v="No"/>
    <s v="Colleague or friend"/>
    <x v="2"/>
    <s v="No"/>
    <s v="No"/>
    <s v="No"/>
    <x v="1"/>
    <x v="3"/>
    <s v="No"/>
    <s v="No"/>
    <s v="No"/>
    <s v="Yes"/>
    <s v="No"/>
    <s v="No"/>
    <s v="No"/>
    <x v="1"/>
    <s v="Totally not independent and run for the old boys network "/>
    <s v="Yes"/>
    <s v="I tried to kill myself "/>
    <x v="2"/>
    <s v="Yes"/>
    <x v="3"/>
    <s v="No"/>
    <s v="Dissatisfied"/>
    <s v="-"/>
    <s v="-"/>
    <s v="-"/>
    <s v="-"/>
    <s v="-"/>
    <s v="-"/>
    <s v="-"/>
  </r>
  <r>
    <n v="174842002"/>
    <n v="160"/>
    <s v="2a02:c7f:b91b:a700:ac0d:a28d:5a67:807"/>
    <m/>
    <n v="44457"/>
    <n v="0.89347202546296289"/>
    <n v="44457"/>
    <n v="0.89670366898148146"/>
    <s v="Completed"/>
    <m/>
    <x v="0"/>
    <s v="Other"/>
    <s v="Yes"/>
    <s v="Yes"/>
    <s v="I didn't know that the Ombudsman existed/ I prefer not to say"/>
    <s v="No"/>
    <x v="3"/>
    <s v="No"/>
    <s v="No"/>
    <s v="No"/>
    <s v="No"/>
    <s v="-"/>
    <x v="4"/>
    <s v="-"/>
    <s v="-"/>
    <s v="-"/>
    <x v="4"/>
    <x v="4"/>
    <s v="-"/>
    <s v="-"/>
    <s v="-"/>
    <s v="-"/>
    <s v="-"/>
    <s v="-"/>
    <s v="-"/>
    <x v="0"/>
    <s v="-"/>
    <s v="-"/>
    <s v="-"/>
    <x v="0"/>
    <s v="-"/>
    <x v="0"/>
    <s v="-"/>
    <s v="-"/>
    <s v="I have been through the SC process, and would totally disagree that the SCOAF is efficient, effective or fair, based on my experience. I firmly believe until you are extricated from the employ of MoD, you cannot - and will not - be seen as Independent / Impartial or have true Integrity."/>
    <s v="British Army"/>
    <s v="Reservist (inc. veteran and retired reservist)"/>
    <s v="Officer"/>
    <s v="50+"/>
    <s v="Male"/>
    <s v="White"/>
  </r>
  <r>
    <n v="174843977"/>
    <n v="161"/>
    <s v="2a00:23c8:1b89:3100:e598:7e4b:7022:de0"/>
    <m/>
    <n v="44457"/>
    <n v="0.9916842939814815"/>
    <n v="44457"/>
    <n v="0.99751489583333341"/>
    <s v="Completed"/>
    <m/>
    <x v="1"/>
    <s v="-"/>
    <s v="-"/>
    <s v="-"/>
    <s v="-"/>
    <s v="-"/>
    <x v="2"/>
    <s v="Yes"/>
    <s v="No"/>
    <s v="No"/>
    <s v="No"/>
    <s v="Training"/>
    <x v="0"/>
    <s v="No"/>
    <s v="No"/>
    <s v="No"/>
    <x v="1"/>
    <x v="3"/>
    <s v="Yes"/>
    <s v="No"/>
    <s v="No"/>
    <s v="No"/>
    <s v="No"/>
    <s v="No"/>
    <s v="No"/>
    <x v="1"/>
    <s v="I resigned my commission rather than stay a second longer in an organisation whereby I’d tried to do the right thing. That person was not only protected but I was top officer in the Brigade and did not promote. The bully in question has been retained, given preferential posting and I was assigned early to assist the career of another officer (300 miles away from my home), and the receiving org was supportive but there was clearly nothing going to be done about the toxicity from my previous complaint. I got out before it cost me my health. "/>
    <s v="Yes"/>
    <s v="I’d started teeth grinding and pulling my hair out. The former meant I cracked a tooth that led to a root canal - the treatment was not concluded at the time of my discharge but I would rather go private than stay to get my teeth fixed. I was exhausted to the point of depression so I resigned my commission. I was using painkillers heavily to help me sleep and counteract the Dental pain. It’s left me with an over dependence on over the counter painkillers which I’m trying to address. "/>
    <x v="3"/>
    <s v="Yes"/>
    <x v="3"/>
    <s v="No"/>
    <s v="Dissatisfied"/>
    <s v="-"/>
    <s v="-"/>
    <s v="-"/>
    <s v="-"/>
    <s v="-"/>
    <s v="-"/>
    <s v="-"/>
  </r>
  <r>
    <n v="174845724"/>
    <n v="162"/>
    <s v="2003:6:1321:70d9:c8d2:d7a3:5a29:21bd"/>
    <m/>
    <n v="44458"/>
    <n v="0.27820798611111114"/>
    <n v="44458"/>
    <n v="0.2809198726851852"/>
    <s v="Completed"/>
    <m/>
    <x v="1"/>
    <s v="-"/>
    <s v="-"/>
    <s v="-"/>
    <s v="-"/>
    <s v="-"/>
    <x v="2"/>
    <s v="Yes"/>
    <s v="Yes"/>
    <s v="No"/>
    <s v="No"/>
    <s v="Chain of command"/>
    <x v="2"/>
    <s v="No"/>
    <s v="No"/>
    <s v="No"/>
    <x v="1"/>
    <x v="0"/>
    <s v="-"/>
    <s v="-"/>
    <s v="-"/>
    <s v="-"/>
    <s v="-"/>
    <s v="-"/>
    <s v="-"/>
    <x v="0"/>
    <s v="-"/>
    <s v="-"/>
    <s v="-"/>
    <x v="0"/>
    <s v="-"/>
    <x v="0"/>
    <s v="-"/>
    <s v="-"/>
    <s v="Although I remained impartial throughout to each party, the respondent was disadvantaged and unprotected from reputational damage. Removal from post was perceived as acknowledgement of guilt. "/>
    <s v="Royal Air Force"/>
    <s v="Regular (inc. veteran and retired regulars)"/>
    <s v="Non Commissioned Officers/Warrant Officers and equivalent rank"/>
    <s v="40-49"/>
    <s v="Female"/>
    <s v="White"/>
  </r>
  <r>
    <n v="174845985"/>
    <n v="163"/>
    <s v="90.252.199.139"/>
    <m/>
    <n v="44458"/>
    <n v="0.29881030092592592"/>
    <n v="44458"/>
    <n v="0.30469903935185189"/>
    <s v="Completed"/>
    <m/>
    <x v="1"/>
    <s v="-"/>
    <s v="-"/>
    <s v="-"/>
    <s v="-"/>
    <s v="-"/>
    <x v="5"/>
    <s v="No"/>
    <s v="No"/>
    <s v="No"/>
    <s v="Yes"/>
    <s v="Other"/>
    <x v="0"/>
    <s v="No"/>
    <s v="I don't know/ I prefer not to say"/>
    <s v="I don't think this applies to me/ I prefer not to say"/>
    <x v="0"/>
    <x v="3"/>
    <s v="No"/>
    <s v="Yes"/>
    <s v="Yes"/>
    <s v="Yes"/>
    <s v="Yes"/>
    <s v="Yes"/>
    <s v="I don't know / Prefer not to say"/>
    <x v="3"/>
    <s v="I submitted my SC in Apr 21 and it is still to be investigated by the RAF. I have been informed there is. 2-3 month backlog. "/>
    <s v="No"/>
    <s v="-"/>
    <x v="4"/>
    <s v="No"/>
    <x v="6"/>
    <s v="I don't know / Prefer not to say"/>
    <s v="Prefer not to say"/>
    <s v="-"/>
    <s v="-"/>
    <s v="-"/>
    <s v="-"/>
    <s v="-"/>
    <s v="-"/>
    <s v="-"/>
  </r>
  <r>
    <n v="174846216"/>
    <n v="164"/>
    <s v="185.222.27.242"/>
    <m/>
    <n v="44458"/>
    <n v="0.31316901620370369"/>
    <n v="44458"/>
    <n v="0.31594725694444442"/>
    <s v="Completed"/>
    <m/>
    <x v="1"/>
    <s v="-"/>
    <s v="-"/>
    <s v="-"/>
    <s v="-"/>
    <s v="-"/>
    <x v="2"/>
    <s v="No"/>
    <s v="Yes"/>
    <s v="No"/>
    <s v="No"/>
    <s v="Online search"/>
    <x v="2"/>
    <s v="No"/>
    <s v="No"/>
    <s v="No"/>
    <x v="0"/>
    <x v="0"/>
    <s v="-"/>
    <s v="-"/>
    <s v="-"/>
    <s v="-"/>
    <s v="-"/>
    <s v="-"/>
    <s v="-"/>
    <x v="0"/>
    <s v="-"/>
    <s v="-"/>
    <s v="-"/>
    <x v="0"/>
    <s v="-"/>
    <x v="0"/>
    <s v="-"/>
    <s v="-"/>
    <s v="Information needs to be more readily available with one source (JSP), not sure why Single Service should differ (ACSO)._x000a_If no access to MODNET information should be available on Unclass websites "/>
    <s v="British Army"/>
    <s v="Regular (inc. veteran and retired regulars)"/>
    <s v="Officer"/>
    <s v="40-49"/>
    <s v="Male"/>
    <s v="White"/>
  </r>
  <r>
    <n v="174858532"/>
    <n v="165"/>
    <s v="2a02:c7d:b7ec:0:11e3:3e3a:88b:d673"/>
    <m/>
    <n v="44458"/>
    <n v="0.61317554398148155"/>
    <n v="44458"/>
    <n v="0.61693533564814818"/>
    <s v="Completed"/>
    <m/>
    <x v="1"/>
    <s v="-"/>
    <s v="-"/>
    <s v="-"/>
    <s v="-"/>
    <s v="-"/>
    <x v="5"/>
    <s v="No"/>
    <s v="No"/>
    <s v="No"/>
    <s v="Yes"/>
    <s v="Other"/>
    <x v="2"/>
    <s v="No"/>
    <s v="No"/>
    <s v="Yes"/>
    <x v="0"/>
    <x v="3"/>
    <s v="Yes"/>
    <s v="No"/>
    <s v="No"/>
    <s v="Yes"/>
    <s v="No"/>
    <s v="Yes"/>
    <s v="I don't know / Prefer not to say"/>
    <x v="1"/>
    <s v="Everything sided with the military and there wasn’t much thought for myself as the complainant. It literally was not seen from the other side which has deteriorated my trust in the process. "/>
    <s v="Yes"/>
    <s v="The stress of dealing with a complaint with an assisting officer that was terrible was not good. AO should be held accountable and mine was not. "/>
    <x v="1"/>
    <s v="Yes"/>
    <x v="1"/>
    <s v="No"/>
    <s v="Dissatisfied"/>
    <s v="-"/>
    <s v="-"/>
    <s v="-"/>
    <s v="-"/>
    <s v="-"/>
    <s v="-"/>
    <s v="-"/>
  </r>
  <r>
    <n v="174877674"/>
    <n v="166"/>
    <s v="90.253.50.169"/>
    <m/>
    <n v="44459"/>
    <n v="0.3290256134259259"/>
    <n v="44459"/>
    <n v="0.33150054398148149"/>
    <s v="Completed"/>
    <m/>
    <x v="1"/>
    <s v="-"/>
    <s v="-"/>
    <s v="-"/>
    <s v="-"/>
    <s v="-"/>
    <x v="4"/>
    <s v="Yes"/>
    <s v="No"/>
    <s v="Yes"/>
    <s v="No"/>
    <s v="Knowledge from a previous complaint"/>
    <x v="2"/>
    <s v="No"/>
    <s v="No"/>
    <s v="No"/>
    <x v="2"/>
    <x v="1"/>
    <s v="-"/>
    <s v="-"/>
    <s v="-"/>
    <s v="-"/>
    <s v="-"/>
    <s v="-"/>
    <s v="-"/>
    <x v="0"/>
    <s v="-"/>
    <s v="-"/>
    <s v="-"/>
    <x v="0"/>
    <s v="-"/>
    <x v="0"/>
    <s v="-"/>
    <s v="-"/>
    <s v="I have been a Deciding officer and a complainant - in both cases the process was enough to damage my mental healt. "/>
    <s v="British Army"/>
    <s v="Reservist (inc. veteran and retired reservist)"/>
    <s v="Officer"/>
    <s v="40-49"/>
    <s v="Female"/>
    <s v="White"/>
  </r>
  <r>
    <n v="174971499"/>
    <n v="167"/>
    <s v="185.13.50.179"/>
    <m/>
    <n v="44460"/>
    <n v="0.51545420138888887"/>
    <n v="44460"/>
    <n v="0.51845833333333335"/>
    <s v="Completed"/>
    <m/>
    <x v="1"/>
    <s v="-"/>
    <s v="-"/>
    <s v="-"/>
    <s v="-"/>
    <s v="-"/>
    <x v="2"/>
    <s v="No"/>
    <s v="No"/>
    <s v="No"/>
    <s v="No"/>
    <s v="Colleague or friend"/>
    <x v="2"/>
    <s v="No"/>
    <s v="No"/>
    <s v="No"/>
    <x v="1"/>
    <x v="2"/>
    <s v="I don't know / Prefer not to say"/>
    <s v="-"/>
    <s v="No"/>
    <s v="Yes"/>
    <s v="Yes"/>
    <s v="No"/>
    <s v="No"/>
    <x v="0"/>
    <s v="Absolutely none of the process was followed iaw policy. I was not interviewed.  The co-respondent was removed for spurious reasons.  My witnesses weren't interviewed."/>
    <s v="Yes"/>
    <s v="I am on medication and counselling as a result of a negligently investigated service complaint."/>
    <x v="1"/>
    <s v="I don't know / Prefer not to say/ I am not the complainant"/>
    <x v="2"/>
    <s v="-"/>
    <s v="Dissatisfied"/>
    <s v="-"/>
    <s v="-"/>
    <s v="-"/>
    <s v="-"/>
    <s v="-"/>
    <s v="-"/>
    <s v="-"/>
  </r>
  <r>
    <n v="174989424"/>
    <n v="168"/>
    <s v="2a02:c7d:8230:cf00:a019:c22c:eb89:27e6"/>
    <m/>
    <n v="44460"/>
    <n v="0.65187079861111108"/>
    <n v="44460"/>
    <n v="0.65640968749999995"/>
    <s v="Completed"/>
    <m/>
    <x v="1"/>
    <s v="-"/>
    <s v="-"/>
    <s v="-"/>
    <s v="-"/>
    <s v="-"/>
    <x v="2"/>
    <s v="Yes"/>
    <s v="No"/>
    <s v="No"/>
    <s v="No"/>
    <s v="Online search"/>
    <x v="2"/>
    <s v="No"/>
    <s v="No"/>
    <s v="No"/>
    <x v="1"/>
    <x v="2"/>
    <s v="-"/>
    <s v="-"/>
    <s v="I don't know / Prefer not to say"/>
    <s v="Yes"/>
    <s v="I don't know / Prefer not to say"/>
    <s v="No"/>
    <s v="No"/>
    <x v="0"/>
    <s v="A false allegation was made against me and I suffered terribly for a year before being cleared. The complainant had no fall out for lying and costing the Army a significant amount of time and money."/>
    <s v="Yes"/>
    <s v="Huge stress and professional embarrassment. Mental health effected. _x000a_Really upsetting experience."/>
    <x v="1"/>
    <s v="-"/>
    <x v="1"/>
    <s v="No"/>
    <s v="Satisfied"/>
    <s v="-"/>
    <s v="-"/>
    <s v="-"/>
    <s v="-"/>
    <s v="-"/>
    <s v="-"/>
    <s v="-"/>
  </r>
  <r>
    <n v="175216818"/>
    <n v="169"/>
    <s v="86.8.145.234"/>
    <m/>
    <n v="44463"/>
    <n v="0.90195416666666661"/>
    <n v="44463"/>
    <n v="0.90607496527777787"/>
    <s v="Completed"/>
    <m/>
    <x v="1"/>
    <s v="-"/>
    <s v="-"/>
    <s v="-"/>
    <s v="-"/>
    <s v="-"/>
    <x v="2"/>
    <s v="No"/>
    <s v="No"/>
    <s v="No"/>
    <s v="Yes"/>
    <s v="Colleague or friend"/>
    <x v="2"/>
    <s v="I prefer not to say"/>
    <s v="No"/>
    <s v="No"/>
    <x v="2"/>
    <x v="3"/>
    <s v="No"/>
    <s v="No"/>
    <s v="Yes"/>
    <s v="Yes"/>
    <s v="Yes"/>
    <s v="No"/>
    <s v="I don't know / Prefer not to say"/>
    <x v="3"/>
    <s v="In my initial Annex F when I referenced the Annex, non were included in the initial disclosure pack and so when disclosed to me I had to attach the the response- a water of time I believe. Thereafter, the monthly updates are just that, they appear heartless and emotionless it is so frustrating as I have lived and breathed this for 18 months. "/>
    <s v="Yes"/>
    <s v="I have been on anti depressants for the majority (sertraline). "/>
    <x v="1"/>
    <s v="No"/>
    <x v="6"/>
    <s v="I don't know / Prefer not to say"/>
    <s v="Prefer not to say"/>
    <s v="-"/>
    <s v="-"/>
    <s v="-"/>
    <s v="-"/>
    <s v="-"/>
    <s v="-"/>
    <s v="-"/>
  </r>
  <r>
    <n v="176160887"/>
    <n v="170"/>
    <s v="2a04:4a43:51ff:2f4f:ed97:1a36:b530:f085"/>
    <m/>
    <n v="44477"/>
    <n v="0.47661971064814818"/>
    <n v="44477"/>
    <n v="0.503606712962963"/>
    <s v="Completed"/>
    <m/>
    <x v="1"/>
    <s v="-"/>
    <s v="-"/>
    <s v="-"/>
    <s v="-"/>
    <s v="-"/>
    <x v="2"/>
    <s v="No"/>
    <s v="No"/>
    <s v="No"/>
    <s v="No"/>
    <s v="Online search"/>
    <x v="2"/>
    <s v="No"/>
    <s v="No"/>
    <s v="No"/>
    <x v="1"/>
    <x v="3"/>
    <s v="No"/>
    <s v="I don't know / Prefer not to say"/>
    <s v="No"/>
    <s v="Yes"/>
    <s v="No"/>
    <s v="No"/>
    <s v="No"/>
    <x v="2"/>
    <s v="1. A Colonel who was directly involved in matters related to the SC was also the Deciding Officer. 2. The length of time it has taken, 6 years and still going on. 3. I attended a 3 day oral hearing at Marlborough Lines, and was told I’d be reimbursed my travel and accommodation - I’m several hundred pounds out of pocket (travel, food, &amp; accommodation), but have not received a penny. 4. The decision by the appeal board is full of basic factual errors (as opposed to matters in dispute). 5. The SCO is the worst part so far."/>
    <s v="Yes"/>
    <s v="The length of time it has taken is scandalous, my career has completely stalled for 6 years. As Major General Holmes RM, has found out, when the military turns against you, it is malicious and vengeful, he has now committed suicide - and I can understand why. I am seriously out of pocket, as the Army SC Sec has not paid my hotel &amp; travel costs. It is clear to me that Army SC Sec are not honest brokers. Trust in the Chain of Command is completely broken. Trust in colleagues is broken, I asked one colleague why he had lied during the SC (key evidence). He said he was sorry, but that the CO had made it clear to him that if he didn’t support the CO’s version of events, his career would be over. He told me that all the key witnesses had been gathered together and given ‘lines to take’. I was told by a senior officer that even if I “win” my SC (which I substantially have), that my career is over, as I have upset too many senior people, by telling the truth. I don’t know how I can even apply for a civilian job, the people who would normally give me a reference are the subject of the SC.  I’m completely lost, have no support, and I don’t know where to turn. The apology letters I have received from the Army &amp; the respondent are meaningless, it turns out making an SC is ultimately unwinable."/>
    <x v="4"/>
    <s v="No"/>
    <x v="5"/>
    <s v="No"/>
    <s v="Dissatisfied"/>
    <s v="SCOAF is part of the problem, it is not part of the solution."/>
    <s v="British Army"/>
    <s v="Reservist (inc. veteran and retired reservist)"/>
    <s v="Officer"/>
    <s v="40-49"/>
    <s v="Male"/>
    <s v="Prefer not to answer"/>
  </r>
  <r>
    <n v="176212155"/>
    <n v="171"/>
    <s v="2a04:4a43:51ff:2f4f:ed97:1a36:b530:f085"/>
    <m/>
    <n v="44477"/>
    <n v="0.77149922453703701"/>
    <n v="44477"/>
    <n v="0.7750534375"/>
    <s v="Completed"/>
    <m/>
    <x v="1"/>
    <s v="-"/>
    <s v="-"/>
    <s v="-"/>
    <s v="-"/>
    <s v="-"/>
    <x v="2"/>
    <s v="No"/>
    <s v="No"/>
    <s v="No"/>
    <s v="No"/>
    <s v="Online search"/>
    <x v="2"/>
    <s v="No"/>
    <s v="No"/>
    <s v="No"/>
    <x v="1"/>
    <x v="0"/>
    <s v="-"/>
    <s v="-"/>
    <s v="-"/>
    <s v="-"/>
    <s v="-"/>
    <s v="-"/>
    <s v="-"/>
    <x v="0"/>
    <s v="-"/>
    <s v="-"/>
    <s v="-"/>
    <x v="0"/>
    <s v="-"/>
    <x v="0"/>
    <s v="-"/>
    <s v="-"/>
    <s v="It is dangerous for any service person to initiate an SC. The military will use every trick in the book to undermine the process, &amp; destroy the complainant. It is career suicide to submit an SC. "/>
    <s v="Royal Air Force"/>
    <s v="Regular (inc. veteran and retired regulars)"/>
    <s v="Officer"/>
    <s v="30-39"/>
    <s v="Female"/>
    <s v="White"/>
  </r>
  <r>
    <n v="176221057"/>
    <n v="172"/>
    <s v="2a02:c7f:9aaf:6700:f4ef:7478:a08d:77ad"/>
    <m/>
    <n v="44477"/>
    <n v="0.88334077546296286"/>
    <n v="44477"/>
    <n v="0.90317306712962964"/>
    <s v="Completed"/>
    <m/>
    <x v="1"/>
    <s v="-"/>
    <s v="-"/>
    <s v="-"/>
    <s v="-"/>
    <s v="-"/>
    <x v="2"/>
    <s v="Yes"/>
    <s v="No"/>
    <s v="No"/>
    <s v="No"/>
    <s v="Chain of command"/>
    <x v="3"/>
    <s v="Yes"/>
    <s v="Yes"/>
    <s v="Yes"/>
    <x v="0"/>
    <x v="3"/>
    <s v="Yes"/>
    <s v="Yes"/>
    <s v="Yes"/>
    <s v="Yes"/>
    <s v="Yes"/>
    <s v="Yes"/>
    <s v="Yes"/>
    <x v="2"/>
    <s v="In the decision recommendations were made. Those recommendations have not been actioned. The respondent has had numerous complaints made against them which were upheld yet continues to treat others in a similar way. I thought recommendations would result in action being taken._x000a_"/>
    <s v="Yes"/>
    <s v="The files with the case details were sent to a wrong address despite the office knowing the correct address. It sat at that address without my knowledge for over a month. The admin office then closed early Dec (14th), my response had to be in by 1st Jan. I applied to the SSA for an extention and was told it would not be a problem if I responded by 7th Jan. I could not contact anyone during the rest of Dec. I was given a wrong email address to return the response to. I could not access MODNET due to COVID and i had no lap top. I had to seek support as I was not sleeping and very anxious. I felt forced to get a solicitor. I was able to trace the correct email address when staff returned on 2nd Jan 21. Despite getting my file late, no staff being available, the address being wrong and the SSA saying an extention would be OK, my response was rejected as they said It was a few days late, they rejected that the SSA extention email was accepted. I was forced to raise an appeal. This resulted in me seeking medical care. I was also taken by ambulance to hospital due to an erratic heart rhythm after dealing with the huge amount of papers. "/>
    <x v="3"/>
    <s v="Yes"/>
    <x v="5"/>
    <s v="No"/>
    <s v="Neutral"/>
    <s v="Most of my HOC were upheld but I felt like I was seen as the trouble maker for speaking out. I was not returned to work, I have no way of showing I was found to be in the right yet the complainant is still fully employed in the same role. This sends out the message that I did wrong. Others are now been treated in the same way but are afraid to speak out as they can see that previous recommendations have not been carried out despite numerous complaints. "/>
    <s v="British Army"/>
    <s v="Reservist (inc. veteran and retired reservist)"/>
    <s v="Officer"/>
    <s v="50+"/>
    <s v="Female"/>
    <s v="White"/>
  </r>
  <r>
    <n v="176807478"/>
    <n v="173"/>
    <s v="2a02:c7e:1a26:6400:a165:8423:d9cc:293d"/>
    <m/>
    <n v="44486"/>
    <n v="0.97739591435185191"/>
    <n v="44486"/>
    <n v="0.98635031249999994"/>
    <s v="Completed"/>
    <m/>
    <x v="1"/>
    <s v="-"/>
    <s v="-"/>
    <s v="-"/>
    <s v="-"/>
    <s v="-"/>
    <x v="2"/>
    <s v="No"/>
    <s v="No"/>
    <s v="No"/>
    <s v="Yes"/>
    <s v="Online search"/>
    <x v="2"/>
    <s v="No"/>
    <s v="No"/>
    <s v="No"/>
    <x v="1"/>
    <x v="3"/>
    <s v="No"/>
    <s v="No"/>
    <s v="No"/>
    <s v="No"/>
    <s v="-"/>
    <s v="No"/>
    <s v="No"/>
    <x v="1"/>
    <s v="JSP rules ignored throughout the complaint handling, which took five years to conclude. "/>
    <s v="Yes"/>
    <s v="Felt bullied throughout the complaint process, five years of torture. "/>
    <x v="4"/>
    <s v="No"/>
    <x v="5"/>
    <s v="No"/>
    <s v="Dissatisfied"/>
    <s v="After five years, parts of my complaint were upheld. It was acknowledged that I was subjected to sexual harassment. However, the decision letter suggested I was at fault, and caused this behaviour - victim blaming. No action taken by the MoD. Therefore sexual harassment is tolerated within the armed forces. Tragically, women are abused freely. 'Me too' military movement needed. "/>
    <s v="British Army"/>
    <s v="Regular (inc. veteran and retired regulars)"/>
    <s v="Non Commissioned Officers/Warrant Officers and equivalent rank"/>
    <s v="30-39"/>
    <s v="Female"/>
    <s v="White"/>
  </r>
  <r>
    <n v="177505529"/>
    <n v="174"/>
    <s v="185.13.50.187"/>
    <m/>
    <n v="44493"/>
    <n v="0.61101327546296302"/>
    <n v="44493"/>
    <n v="0.61777758101851854"/>
    <s v="Completed"/>
    <m/>
    <x v="1"/>
    <s v="-"/>
    <s v="-"/>
    <s v="-"/>
    <s v="-"/>
    <s v="-"/>
    <x v="2"/>
    <s v="No"/>
    <s v="No"/>
    <s v="No"/>
    <s v="No"/>
    <s v="Chain of command"/>
    <x v="2"/>
    <s v="No"/>
    <s v="No"/>
    <s v="No"/>
    <x v="1"/>
    <x v="3"/>
    <s v="No"/>
    <s v="No"/>
    <s v="Yes"/>
    <s v="Yes"/>
    <s v="No"/>
    <s v="No"/>
    <s v="No"/>
    <x v="1"/>
    <s v="Undue delays that have not been explained.  Incorrect personnel assigned to the investigation.  No follow up interviews conducted after statements had been taken, therefore an investigation did not take place, only a collation of statements, with evidence from the complainant but no evidence from the recipients.  Key personnel not interviewed.  The decision bodies ignored the complainants requests to gather further information from computer systems.  Statements from recipients being upheld as evidence!  No evidence supplied by the recipients.  False statements being submitted and upheld (proof they were false had been provided).  False allegations made in statements without any evidence."/>
    <s v="I don't know / Prefer not to say"/>
    <s v="I am attempting to understand it and do not know how I feel at this present time."/>
    <x v="3"/>
    <s v="Yes"/>
    <x v="3"/>
    <s v="No"/>
    <s v="Dissatisfied"/>
    <s v="-"/>
    <s v="-"/>
    <s v="-"/>
    <s v="-"/>
    <s v="-"/>
    <s v="-"/>
    <s v="-"/>
  </r>
  <r>
    <n v="177634951"/>
    <n v="175"/>
    <s v="2a02:c7f:2004:7400:bd33:4a9f:b349:c7b6"/>
    <m/>
    <n v="44494"/>
    <n v="0.86998128472222225"/>
    <n v="44494"/>
    <n v="0.87787033564814809"/>
    <s v="Completed"/>
    <m/>
    <x v="1"/>
    <s v="-"/>
    <s v="-"/>
    <s v="-"/>
    <s v="-"/>
    <s v="-"/>
    <x v="1"/>
    <s v="No"/>
    <s v="No"/>
    <s v="No"/>
    <s v="Yes"/>
    <s v="Knowledge from a previous complaint"/>
    <x v="2"/>
    <s v="No"/>
    <s v="No"/>
    <s v="I don't think this applies to me/ I prefer not to say"/>
    <x v="1"/>
    <x v="3"/>
    <s v="Yes"/>
    <s v="No"/>
    <s v="No"/>
    <s v="Yes"/>
    <s v="No"/>
    <s v="Yes"/>
    <s v="No"/>
    <x v="1"/>
    <s v="The Rank of the individuals concerned and the ‘closed ranks’ approach adopted by the Regiment. "/>
    <s v="Yes"/>
    <s v="The SC process and the effects of the extremely protracted process, defensive approach taken by the MOD (A) had a detrimental effect on my wellbeing  and exacerbated the already confirmed diagnosis of clinical depression and PTSD. The SC process is without doubt a causation of adverse and detrimental impacts on a complainants health. "/>
    <x v="4"/>
    <s v="Yes"/>
    <x v="1"/>
    <s v="No"/>
    <s v="Dissatisfied"/>
    <s v="-"/>
    <s v="-"/>
    <s v="-"/>
    <s v="-"/>
    <s v="-"/>
    <s v="-"/>
    <s v="-"/>
  </r>
  <r>
    <n v="178470394"/>
    <n v="176"/>
    <s v="2a02:c7f:1210:3500:c9c4:991c:6829:f050"/>
    <m/>
    <n v="44506"/>
    <n v="0.47237021990740741"/>
    <n v="44506"/>
    <n v="0.47946403935185183"/>
    <s v="Completed"/>
    <m/>
    <x v="1"/>
    <s v="-"/>
    <s v="-"/>
    <s v="-"/>
    <s v="-"/>
    <s v="-"/>
    <x v="2"/>
    <s v="No"/>
    <s v="No"/>
    <s v="No"/>
    <s v="Yes"/>
    <s v="Online search"/>
    <x v="2"/>
    <s v="No"/>
    <s v="No"/>
    <s v="No"/>
    <x v="1"/>
    <x v="2"/>
    <s v="No"/>
    <s v="-"/>
    <s v="-"/>
    <s v="Yes"/>
    <s v="Yes"/>
    <s v="No"/>
    <s v="No"/>
    <x v="0"/>
    <s v="As a respondent I was accused of very serious allegations over a protracted period (2 years). I was not interviewed or consulted until all of the complainants witnesses had been interviewed, despite my protests that this seemed incorrect. I was not provided with a single mandatory update throughout the 2 and a quarter years that the service complaint took. The HIO made serious policy errors in the conduct of the investigation and the presentation of his findings which have bee totally ignored. The process was a joke. Now, with no case to answer, there will be no attempt to learn from the extensive mistakes that have been made. The army is now attention got make me desist in my own service complaints that I am compelled to launch in an attempt to ensure that lessons are at least learnt. Months after the investigation ended Both my wife and I were accused by the HIO of harassing another - which caused my wife even greater stress. This must stop! "/>
    <s v="Yes"/>
    <s v="Given the serious nature of the now proven to be vexatious allegations that were made against me, I was under constant stress and significant anxiety for over two years. I was not provided with a single mandatory monthly update by the HQ managing the complaint. I was left in the dark throughout, my concerns with the conduct of the investigation totally ignored - despite it being acknowledged in the DBS report that there were serious deviations from policy. I feel utterly let down by the process and it will take me some time to recover - not that the army cares they now simply_x000a_Want to silence me - I want people to_x000a_Learn from my horrific experiences but no one cares. "/>
    <x v="1"/>
    <s v="-"/>
    <x v="1"/>
    <s v="-"/>
    <s v="Dissatisfied"/>
    <s v="-"/>
    <s v="-"/>
    <s v="-"/>
    <s v="-"/>
    <s v="-"/>
    <s v="-"/>
    <s v="-"/>
  </r>
  <r>
    <n v="178470994"/>
    <n v="177"/>
    <s v="188.172.198.42"/>
    <m/>
    <n v="44506"/>
    <n v="0.48414070601851855"/>
    <n v="44506"/>
    <n v="0.49381982638888888"/>
    <s v="Completed"/>
    <m/>
    <x v="1"/>
    <s v="-"/>
    <s v="-"/>
    <s v="-"/>
    <s v="-"/>
    <s v="-"/>
    <x v="2"/>
    <s v="Yes"/>
    <s v="Yes"/>
    <s v="No"/>
    <s v="No"/>
    <s v="Chain of command"/>
    <x v="2"/>
    <s v="No"/>
    <s v="No"/>
    <s v="No"/>
    <x v="1"/>
    <x v="3"/>
    <s v="No"/>
    <s v="No"/>
    <s v="Yes"/>
    <s v="Yes"/>
    <s v="I don't know / Prefer not to say"/>
    <s v="No"/>
    <s v="No"/>
    <x v="1"/>
    <s v="During the compliant the respondent did further damage to me. This was identified by the investigating officer reported to the deciding officer (The Army’s OF5 in APC because it is OJAR related), despite the activity of the respondent being identified as bullying, no action was taken. Ie nothing to prevent the situation worsening and the apc view was I need to submit another service complaint. If the the professional army body for complaints helps sponsor bullying and bad behaviour there is no trust that the complaint system works. Thank lease note - I until very recently was a regular field force commanding officer, who witnessed the process from all angles. I simply do not trust the army wants anything but to make the problems disappear. Rather than resolve problems. It is wilfully blind on its failings- no army officer is impartial and therefore should not  be involved int the decision or investigation.  "/>
    <s v="No"/>
    <s v="Absolutely- I was bullied by my 1ro and his actions allowed to continue by the 2ro. Please note that is a brigadier and a major general. There was no way out, I could not stop it and the chain of command was wedded to not stopping it. The army structures and processes actively assist in bullying. _x000a_This led to raised stress levels, no sleep and poor health. Frankly miserable, to put into context I am a high threat iedd operator - ie I did a lot of bomb disposal in Iraq and Afghanistan- being bullied by your boss while the 2ro watches on was far more stressful than defusing bombs in those campaigns. _x000a_I think about nothing else - why because I know the Army will take no action to stop bullying. Nor to stop bullies progress their careers. "/>
    <x v="4"/>
    <s v="No"/>
    <x v="2"/>
    <s v="No"/>
    <s v="Dissatisfied"/>
    <s v="-"/>
    <s v="-"/>
    <s v="-"/>
    <s v="-"/>
    <s v="-"/>
    <s v="-"/>
    <s v="-"/>
  </r>
  <r>
    <n v="178499255"/>
    <n v="178"/>
    <s v="79.66.26.122"/>
    <m/>
    <n v="44507"/>
    <n v="0.46780211805555555"/>
    <n v="44507"/>
    <n v="0.47057766203703705"/>
    <s v="Completed"/>
    <m/>
    <x v="1"/>
    <s v="-"/>
    <s v="-"/>
    <s v="-"/>
    <s v="-"/>
    <s v="-"/>
    <x v="2"/>
    <s v="Yes"/>
    <s v="Yes"/>
    <s v="No"/>
    <s v="No"/>
    <s v="Knowledge from a previous complaint"/>
    <x v="2"/>
    <s v="No"/>
    <s v="No"/>
    <s v="No"/>
    <x v="2"/>
    <x v="2"/>
    <s v="-"/>
    <s v="-"/>
    <s v="No"/>
    <s v="No"/>
    <s v="-"/>
    <s v="Yes"/>
    <s v="No"/>
    <x v="0"/>
    <s v="Confidential medical information disclosed during gathering of evidence. No support as a respondent from CoC. "/>
    <s v="Yes"/>
    <s v="Evidence gathered has shown bias against me in the CoC leading to stress and mental health issues "/>
    <x v="3"/>
    <s v="-"/>
    <x v="6"/>
    <s v="No"/>
    <s v="Dissatisfied"/>
    <s v="-"/>
    <s v="-"/>
    <s v="-"/>
    <s v="-"/>
    <s v="-"/>
    <s v="-"/>
    <s v="-"/>
  </r>
  <r>
    <n v="178702059"/>
    <n v="179"/>
    <s v="2a02:c7f:6e74:9e00:351b:e62f:a844:79ba"/>
    <m/>
    <n v="44509"/>
    <n v="0.76729725694444451"/>
    <n v="44509"/>
    <n v="0.7716629976851852"/>
    <s v="Completed"/>
    <m/>
    <x v="1"/>
    <s v="-"/>
    <s v="-"/>
    <s v="-"/>
    <s v="-"/>
    <s v="-"/>
    <x v="4"/>
    <s v="Yes"/>
    <s v="Yes"/>
    <s v="Yes"/>
    <s v="No"/>
    <s v="Knowledge from a previous complaint"/>
    <x v="2"/>
    <s v="No"/>
    <s v="No"/>
    <s v="No"/>
    <x v="1"/>
    <x v="3"/>
    <s v="Yes"/>
    <s v="Yes"/>
    <s v="Yes"/>
    <s v="Yes"/>
    <s v="I don't know / Prefer not to say"/>
    <s v="Yes"/>
    <s v="Yes"/>
    <x v="2"/>
    <s v="Too lengthy and over reliance on the record keeping of the complainant - which makes it hard for junior personnel to raise a complaint. "/>
    <s v="Yes"/>
    <s v="Stress, reputational damage and nearly caused my marriage to end because my wife thought I was doing nothing (end to end the complaint took exactly five years to receive the final response)."/>
    <x v="2"/>
    <s v="Yes"/>
    <x v="5"/>
    <s v="I don't know / Prefer not to say"/>
    <s v="Neutral"/>
    <s v="There should be an independent system - the chain of command cannot be trusted to investigate anything (look at what happened in Kenya - a murder was reported by a soldier and the entire chain of command up to MOD main building brushed it under the carpet). "/>
    <s v="British Army"/>
    <s v="Regular (inc. veteran and retired regulars)"/>
    <s v="Non Commissioned Officers/Warrant Officers and equivalent rank"/>
    <s v="40-49"/>
    <s v="Male"/>
    <s v="White"/>
  </r>
  <r>
    <n v="179045358"/>
    <n v="180"/>
    <s v="86.24.198.73"/>
    <m/>
    <n v="44514"/>
    <n v="0.88143521990740747"/>
    <n v="44514"/>
    <n v="0.88234313657407404"/>
    <s v="Completed"/>
    <m/>
    <x v="0"/>
    <s v="Training"/>
    <s v="Yes"/>
    <s v="Yes"/>
    <s v="-"/>
    <s v="No"/>
    <x v="3"/>
    <s v="No"/>
    <s v="No"/>
    <s v="No"/>
    <s v="No"/>
    <s v="-"/>
    <x v="4"/>
    <s v="-"/>
    <s v="-"/>
    <s v="-"/>
    <x v="4"/>
    <x v="4"/>
    <s v="-"/>
    <s v="-"/>
    <s v="-"/>
    <s v="-"/>
    <s v="-"/>
    <s v="-"/>
    <s v="-"/>
    <x v="0"/>
    <s v="-"/>
    <s v="-"/>
    <s v="-"/>
    <x v="0"/>
    <s v="-"/>
    <x v="0"/>
    <s v="-"/>
    <s v="-"/>
    <s v="-"/>
    <s v="British Army"/>
    <s v="Regular (inc. veteran and retired regulars)"/>
    <s v="Private and equivalent rank"/>
    <s v="20-29"/>
    <s v="Male"/>
    <s v="White"/>
  </r>
  <r>
    <n v="180653724"/>
    <n v="181"/>
    <s v="185.13.50.178"/>
    <m/>
    <n v="44538"/>
    <n v="0.43058429398148146"/>
    <n v="44538"/>
    <n v="0.43324054398148149"/>
    <s v="Completed"/>
    <m/>
    <x v="0"/>
    <s v="Training"/>
    <s v="Yes"/>
    <s v="Yes"/>
    <s v="Yes"/>
    <s v="Yes"/>
    <x v="3"/>
    <s v="No"/>
    <s v="No"/>
    <s v="No"/>
    <s v="No"/>
    <s v="-"/>
    <x v="4"/>
    <s v="-"/>
    <s v="-"/>
    <s v="-"/>
    <x v="4"/>
    <x v="4"/>
    <s v="-"/>
    <s v="-"/>
    <s v="-"/>
    <s v="-"/>
    <s v="-"/>
    <s v="-"/>
    <s v="-"/>
    <x v="0"/>
    <s v="-"/>
    <s v="-"/>
    <s v="-"/>
    <x v="0"/>
    <s v="-"/>
    <x v="0"/>
    <s v="-"/>
    <s v="-"/>
    <s v="The process needs improving, it is very civilianised, and that is not a bad thing, but the Military participants already have numerous roles, the additional functions of SC process, are added where no additional capacity exists."/>
    <s v="British Army"/>
    <s v="Regular (inc. veteran and retired regulars)"/>
    <s v="Non Commissioned Officers/Warrant Officers and equivalent rank"/>
    <s v="30-39"/>
    <s v="Male"/>
    <s v="White"/>
  </r>
  <r>
    <n v="180761807"/>
    <n v="182"/>
    <s v="185.13.50.209"/>
    <m/>
    <n v="44539"/>
    <n v="0.52824328703703705"/>
    <n v="44539"/>
    <n v="0.54872612268518517"/>
    <s v="Completed"/>
    <m/>
    <x v="1"/>
    <s v="-"/>
    <s v="-"/>
    <s v="-"/>
    <s v="-"/>
    <s v="-"/>
    <x v="0"/>
    <s v="Yes"/>
    <s v="No"/>
    <s v="No"/>
    <s v="No"/>
    <s v="Other"/>
    <x v="1"/>
    <s v="No"/>
    <s v="No"/>
    <s v="Yes"/>
    <x v="0"/>
    <x v="3"/>
    <s v="No"/>
    <s v="Yes"/>
    <s v="Yes"/>
    <s v="Yes"/>
    <s v="No"/>
    <s v="Yes"/>
    <s v="No"/>
    <x v="1"/>
    <s v="All the evidence that I submitted was disregarded and not even taken into account or even mentioned in the decision body or appeal bodies letters._x000a_No investigation or interviews took place.  _x000a_I felt like I was denied my voice. _x000a_JSP 757 was not followed correctly with evidence to the fact, yet my complaint was still not upheld._x000a_Findings of failings were found but yet again they did not upheld my complaint. _x000a_There is a lot more besides these and they are all in my SCO Form that I had my solicitor write on my behalf so as not to miss anything. "/>
    <s v="Yes"/>
    <s v="Financially I am under strain due to £1250 I spent on a solicitor who was Ex Army Legal Service Lawyer. (she could not believe that the complaint was not upheld)_x000a_I have had trouble sleeping, I am left with some anxiety dealing with it. _x000a_After a 22+ year career I am left with mixed emotions of anger, sadness, feelings of being let down and tossed on the scrap heap, resentment towards the Army amongst other thoughts and feelings. "/>
    <x v="4"/>
    <s v="Yes"/>
    <x v="3"/>
    <s v="No"/>
    <s v="Dissatisfied"/>
    <s v="-"/>
    <s v="-"/>
    <s v="-"/>
    <s v="-"/>
    <s v="-"/>
    <s v="-"/>
    <s v="-"/>
  </r>
  <r>
    <n v="180831011"/>
    <n v="183"/>
    <s v="185.13.50.208"/>
    <m/>
    <n v="44540"/>
    <n v="0.47987893518518515"/>
    <n v="44540"/>
    <n v="0.48378151620370374"/>
    <s v="Completed"/>
    <m/>
    <x v="1"/>
    <s v="-"/>
    <s v="-"/>
    <s v="-"/>
    <s v="-"/>
    <s v="-"/>
    <x v="0"/>
    <s v="No"/>
    <s v="No"/>
    <s v="No"/>
    <s v="Yes"/>
    <s v="Other"/>
    <x v="2"/>
    <s v="No"/>
    <s v="No"/>
    <s v="Yes"/>
    <x v="1"/>
    <x v="3"/>
    <s v="Yes"/>
    <s v="Yes"/>
    <s v="Yes"/>
    <s v="No"/>
    <s v="No"/>
    <s v="Yes"/>
    <s v="No"/>
    <x v="2"/>
    <s v="No evidence gained or individuals named interviewed, complete brush off."/>
    <s v="Yes"/>
    <s v="I suffer from PTSD and to not even have it acknowledged as part of the complaint and reasons for time lapse just shows contempt."/>
    <x v="5"/>
    <s v="No"/>
    <x v="3"/>
    <s v="No"/>
    <s v="Dissatisfied"/>
    <s v="-"/>
    <s v="-"/>
    <s v="-"/>
    <s v="-"/>
    <s v="-"/>
    <s v="-"/>
    <s v="-"/>
  </r>
  <r>
    <n v="180850739"/>
    <n v="184"/>
    <s v="176.116.21.115"/>
    <m/>
    <n v="44540"/>
    <n v="0.58907542824074077"/>
    <n v="44540"/>
    <n v="0.59041234953703703"/>
    <s v="Completed"/>
    <m/>
    <x v="1"/>
    <s v="-"/>
    <s v="-"/>
    <s v="-"/>
    <s v="-"/>
    <s v="-"/>
    <x v="2"/>
    <s v="No"/>
    <s v="Yes"/>
    <s v="No"/>
    <s v="No"/>
    <s v="Chain of command"/>
    <x v="2"/>
    <s v="No"/>
    <s v="Yes"/>
    <s v="Yes"/>
    <x v="2"/>
    <x v="1"/>
    <s v="-"/>
    <s v="-"/>
    <s v="-"/>
    <s v="-"/>
    <s v="-"/>
    <s v="-"/>
    <s v="-"/>
    <x v="0"/>
    <s v="-"/>
    <s v="-"/>
    <s v="-"/>
    <x v="0"/>
    <s v="-"/>
    <x v="0"/>
    <s v="-"/>
    <s v="-"/>
    <s v="The SC is becoming a vent for those unhappy with routine treatment. As an SO the burden is significant and training inadequate. "/>
    <s v="British Army"/>
    <s v="Regular (inc. veteran and retired regulars)"/>
    <s v="Officer"/>
    <s v="40-49"/>
    <s v="Male"/>
    <s v="White"/>
  </r>
  <r>
    <n v="180851221"/>
    <n v="185"/>
    <s v="2a01:4c8:1041:ca98:b5dd:23cb:f16a:3fba"/>
    <m/>
    <n v="44540"/>
    <n v="0.59189452546296295"/>
    <n v="44540"/>
    <n v="0.59352184027777777"/>
    <s v="Completed"/>
    <m/>
    <x v="0"/>
    <s v="From a current or previous complaint"/>
    <s v="I haven't sought any information on SCOAF"/>
    <s v="Yes"/>
    <s v="Yes"/>
    <s v="Yes"/>
    <x v="3"/>
    <s v="No"/>
    <s v="No"/>
    <s v="No"/>
    <s v="No"/>
    <s v="-"/>
    <x v="4"/>
    <s v="-"/>
    <s v="-"/>
    <s v="-"/>
    <x v="4"/>
    <x v="4"/>
    <s v="-"/>
    <s v="-"/>
    <s v="-"/>
    <s v="-"/>
    <s v="-"/>
    <s v="-"/>
    <s v="-"/>
    <x v="0"/>
    <s v="-"/>
    <s v="-"/>
    <s v="-"/>
    <x v="0"/>
    <s v="-"/>
    <x v="0"/>
    <s v="-"/>
    <s v="-"/>
    <s v="The chain of command should not alienate respondents.  I felt totally unsupported and thrown under the bus, despite the allegations ending up being unfounded. It had a severe impact on my mental health and I have considered my position within the armed forces as a result."/>
    <s v="British Army"/>
    <s v="Regular (inc. veteran and retired regulars)"/>
    <s v="Officer"/>
    <s v="40-49"/>
    <s v="Female"/>
    <s v="White"/>
  </r>
  <r>
    <n v="180891315"/>
    <n v="186"/>
    <s v="90.252.98.244"/>
    <m/>
    <n v="44540"/>
    <n v="0.74776956018518526"/>
    <n v="44540"/>
    <n v="0.7553484606481482"/>
    <s v="Completed"/>
    <m/>
    <x v="1"/>
    <s v="-"/>
    <s v="-"/>
    <s v="-"/>
    <s v="-"/>
    <s v="-"/>
    <x v="2"/>
    <s v="No"/>
    <s v="No"/>
    <s v="No"/>
    <s v="No"/>
    <s v="Other"/>
    <x v="2"/>
    <s v="No"/>
    <s v="I don't know/ I prefer not to say"/>
    <s v="No"/>
    <x v="2"/>
    <x v="2"/>
    <s v="-"/>
    <s v="-"/>
    <s v="I don't know / Prefer not to say"/>
    <s v="Yes"/>
    <s v="Yes"/>
    <s v="No"/>
    <s v="No"/>
    <x v="0"/>
    <s v="Excessive timeframe given the low level of complaint offered"/>
    <s v="Yes"/>
    <s v="Despite overwhelming evidence demonstrating that the individual was mistaken in their beliefs they had been poorly treated, I was very stressed and it brought up prior mental health issues which I had previously been successfully managing. Thankfully I was paying to see a psychologist privately because 1. I did not want to involve DCMH (again) and 2. did not wish to be downgraded having been previously downgraded would have rendered me ineligible for a promotion (which I subsequently received). This, combined with the inordinate delays and excessively complex process for something which frankly did not warrant it had a significant negative impact on my ability to work and also the relationships with my family."/>
    <x v="1"/>
    <s v="-"/>
    <x v="1"/>
    <s v="I don't know / Prefer not to say"/>
    <s v="Satisfied"/>
    <s v="-"/>
    <s v="-"/>
    <s v="-"/>
    <s v="-"/>
    <s v="-"/>
    <s v="-"/>
    <s v="-"/>
  </r>
  <r>
    <n v="180903091"/>
    <n v="187"/>
    <s v="2a00:23c5:c13f:8e01:f9ca:dab7:9ca2:4a2d"/>
    <m/>
    <n v="44540"/>
    <n v="0.85553001157407405"/>
    <n v="44540"/>
    <n v="0.85788943287037034"/>
    <s v="Completed"/>
    <m/>
    <x v="0"/>
    <s v="From a current or previous complaint"/>
    <s v="Yes"/>
    <s v="Yes"/>
    <s v="Yes"/>
    <s v="No"/>
    <x v="3"/>
    <s v="No"/>
    <s v="No"/>
    <s v="No"/>
    <s v="No"/>
    <s v="-"/>
    <x v="4"/>
    <s v="-"/>
    <s v="-"/>
    <s v="-"/>
    <x v="4"/>
    <x v="4"/>
    <s v="-"/>
    <s v="-"/>
    <s v="-"/>
    <s v="-"/>
    <s v="-"/>
    <s v="-"/>
    <s v="-"/>
    <x v="0"/>
    <s v="-"/>
    <s v="-"/>
    <s v="-"/>
    <x v="0"/>
    <s v="-"/>
    <x v="0"/>
    <s v="-"/>
    <s v="-"/>
    <s v="Very biased in favour of complainant. Timeliness not adhered to, and process misunderstood not followed by DOs. No appeal process for respondent is ridiculous."/>
    <s v="British Army"/>
    <s v="Regular (inc. veteran and retired regulars)"/>
    <s v="Non Commissioned Officers/Warrant Officers and equivalent rank"/>
    <s v="30-39"/>
    <s v="Male"/>
    <s v="White"/>
  </r>
  <r>
    <n v="181002484"/>
    <n v="188"/>
    <s v="185.13.50.213"/>
    <m/>
    <n v="44543"/>
    <n v="0.43742442129629633"/>
    <n v="44543"/>
    <n v="0.47176122685185184"/>
    <s v="Completed"/>
    <m/>
    <x v="1"/>
    <s v="-"/>
    <s v="-"/>
    <s v="-"/>
    <s v="-"/>
    <s v="-"/>
    <x v="2"/>
    <s v="No"/>
    <s v="No"/>
    <s v="No"/>
    <s v="Yes"/>
    <s v="Service Welfare/ support"/>
    <x v="2"/>
    <s v="No"/>
    <s v="No"/>
    <s v="I don't think this applies to me/ I prefer not to say"/>
    <x v="2"/>
    <x v="3"/>
    <s v="No"/>
    <s v="Yes"/>
    <s v="No"/>
    <s v="Yes"/>
    <s v="Yes"/>
    <s v="Yes"/>
    <s v="Yes"/>
    <x v="2"/>
    <s v="It took far too long - both the Admissibility Decision (9 months) and final decision (15 months)._x000a__x000a_The DB chose not to speak to me. I think this could have sped up the process. If nothing else it would have been nice to have had the decision letter explained to me."/>
    <s v="Yes"/>
    <s v="I underwent a block of counselling while waiting for the outcome of the Complaint, both to help me overcome the experience that the Complaint related to and to manage the ongoing sap on my emotional energy caused by the ongoing Complaint. I suffered with anxiety, mild stress and depression."/>
    <x v="1"/>
    <s v="No"/>
    <x v="5"/>
    <s v="I don't know / Prefer not to say"/>
    <s v="Neutral"/>
    <s v="The process took too long (almost exactly 2 years from submission to decision). While I received regular updates, they told me nothing except that work was ongoing. I had no idea whether workload, illness, covid, legalities, something more serious or a combination thereof was causing the delays. As time went on, each month I would feel more disappointed with the lack of progress and more paranoid that nothing was going to come of my Complaint._x000a__x000a_I was disappointed not have received a call from the DB throughout my Complaint. I think this could have sped up the process and if nothing else, it would have been nice to have a personal explanation of the final decisions. _x000a__x000a_I suspected the Complaint system would ultimately protect the Service; until we (the MOD) have a truly independent Complaints system I don't think that will change. While my Complaint was partially upheld, I am left with a sense that the System protected itself and those it breeds. My Complaint concerned unacceptable behaviours and one of my Redresses asked &quot;The Service should consider how to deal with the products of a system that has arguably encouraged and bred bullying behaviours.&quot;. The DB either deliberately chose to ignore this (as is his right) or missed it in his decision making._x000a__x000a_I found some of the system's requirements very difficult in my case. For example, the timeline for submitting a Complaint after the last instance is short. I took longer than the three months specified in policy to submit my Complaint - it was more like 9. Even then, finding the emotional energy to articulately and as unemotionally as possible write down my Complaint was a real struggle. Mentally, I was not in the right place to have done this any earlier (because of my experiences that were the subjects of the Complaint) and in hindsight, I could have written a clearer account had I had longer to reflect. Specifically, I found it hard to articulate the redresses I sought. Even now, I find it difficult to think about what redresses I could have sought within the bounds of the system and without appearing vindictive. Yet I suspect I will carry a sense of injustice with me that even where my Complaint was upheld, the redresses will have little impact, especially compared to the impact my experiences have had on me professionally and personally._x000a_"/>
    <s v="Royal Air Force"/>
    <s v="Regular (inc. veteran and retired regulars)"/>
    <s v="Officer"/>
    <s v="30-39"/>
    <s v="Female"/>
    <s v="Whi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4177C7A-4850-488E-B071-0AD30C68A7E6}"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F15" firstHeaderRow="1" firstDataRow="2" firstDataCol="1" rowPageCount="1" colPageCount="1"/>
  <pivotFields count="51">
    <pivotField dataField="1"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5"/>
        <item x="1"/>
        <item x="7"/>
        <item x="6"/>
        <item x="3"/>
        <item x="4"/>
        <item x="2"/>
        <item x="0"/>
        <item t="default"/>
      </items>
    </pivotField>
    <pivotField showAll="0"/>
    <pivotField showAll="0"/>
    <pivotField showAll="0"/>
    <pivotField showAll="0"/>
    <pivotField showAll="0"/>
    <pivotField showAll="0"/>
    <pivotField showAll="0"/>
    <pivotField showAll="0"/>
    <pivotField showAll="0"/>
  </pivotFields>
  <rowFields count="1">
    <field x="41"/>
  </rowFields>
  <rowItems count="9">
    <i>
      <x/>
    </i>
    <i>
      <x v="1"/>
    </i>
    <i>
      <x v="2"/>
    </i>
    <i>
      <x v="3"/>
    </i>
    <i>
      <x v="4"/>
    </i>
    <i>
      <x v="5"/>
    </i>
    <i>
      <x v="6"/>
    </i>
    <i>
      <x v="7"/>
    </i>
    <i t="grand">
      <x/>
    </i>
  </rowItems>
  <colFields count="1">
    <field x="26"/>
  </colFields>
  <colItems count="5">
    <i>
      <x/>
    </i>
    <i>
      <x v="1"/>
    </i>
    <i>
      <x v="2"/>
    </i>
    <i>
      <x v="3"/>
    </i>
    <i t="grand">
      <x/>
    </i>
  </colItems>
  <pageFields count="1">
    <pageField fld="10" item="1" hier="-1"/>
  </pageFields>
  <dataFields count="1">
    <dataField name="Count of UserID" fld="0" subtotal="count" baseField="0" baseItem="0"/>
  </dataFields>
  <formats count="2">
    <format dxfId="1">
      <pivotArea dataOnly="0" labelOnly="1" fieldPosition="0">
        <references count="1">
          <reference field="26"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CD0BA69-FA02-42B5-B03C-378B63874BAB}"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1:B41" firstHeaderRow="1" firstDataRow="1" firstDataCol="1" rowPageCount="1" colPageCount="1"/>
  <pivotFields count="51">
    <pivotField dataField="1"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5"/>
        <item x="1"/>
        <item x="7"/>
        <item x="6"/>
        <item x="3"/>
        <item x="4"/>
        <item x="2"/>
        <item x="0"/>
        <item t="default"/>
      </items>
    </pivotField>
    <pivotField showAll="0"/>
    <pivotField showAll="0"/>
    <pivotField showAll="0"/>
    <pivotField showAll="0"/>
    <pivotField showAll="0"/>
    <pivotField showAll="0"/>
    <pivotField showAll="0"/>
    <pivotField showAll="0"/>
    <pivotField showAll="0"/>
  </pivotFields>
  <rowFields count="1">
    <field x="41"/>
  </rowFields>
  <pageFields count="1">
    <pageField fld="10" item="1" hier="-1"/>
  </pageFields>
  <dataFields count="1">
    <dataField name="Count of UserID" fld="0" subtotal="count" baseField="0" baseItem="0"/>
  </dataFields>
  <formats count="1">
    <format dxfId="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334970D-51FE-4DD0-93ED-29A7F7B9491A}"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0:B30" firstHeaderRow="1" firstDataRow="1" firstDataCol="1" rowPageCount="1" colPageCount="1"/>
  <pivotFields count="51">
    <pivotField dataField="1"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showAll="0"/>
    <pivotField showAll="0"/>
    <pivotField showAll="0"/>
    <pivotField axis="axisRow" showAll="0">
      <items count="7">
        <item x="3"/>
        <item x="0"/>
        <item x="2"/>
        <item x="5"/>
        <item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pageFields count="1">
    <pageField fld="10" item="1" hier="-1"/>
  </pageFields>
  <dataFields count="1">
    <dataField name="Count of UserID" fld="0" subtotal="count" baseField="0" baseItem="0"/>
  </dataFields>
  <formats count="1">
    <format dxfId="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DCC65C44-A1CB-48D2-9207-8C52056F426C}"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0:B20" firstHeaderRow="1" firstDataRow="1" firstDataCol="1" rowPageCount="1" colPageCount="1"/>
  <pivotFields count="51">
    <pivotField dataField="1"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4"/>
        <item x="3"/>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pageFields count="1">
    <pageField fld="10" item="1" hier="-1"/>
  </pageFields>
  <dataFields count="1">
    <dataField name="Count of UserID" fld="0" subtotal="count" baseField="0" baseItem="0"/>
  </dataFields>
  <formats count="1">
    <format dxfId="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4.bin"/><Relationship Id="rId4" Type="http://schemas.openxmlformats.org/officeDocument/2006/relationships/pivotTable" Target="../pivotTables/pivotTable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3D591-786F-4122-A4D6-E33F3BECD82B}">
  <sheetPr codeName="Sheet28">
    <pageSetUpPr fitToPage="1"/>
  </sheetPr>
  <dimension ref="A8:G22"/>
  <sheetViews>
    <sheetView tabSelected="1" zoomScaleNormal="100" zoomScaleSheetLayoutView="100" workbookViewId="0">
      <selection activeCell="A23" sqref="A23"/>
    </sheetView>
  </sheetViews>
  <sheetFormatPr defaultColWidth="22.42578125" defaultRowHeight="14.25"/>
  <cols>
    <col min="1" max="16384" width="22.42578125" style="144"/>
  </cols>
  <sheetData>
    <row r="8" spans="1:7" ht="30">
      <c r="A8" s="143" t="str">
        <f>"Annual Report 2023"</f>
        <v>Annual Report 2023</v>
      </c>
    </row>
    <row r="9" spans="1:7" ht="63" customHeight="1">
      <c r="A9" s="225" t="s">
        <v>62</v>
      </c>
      <c r="B9" s="225"/>
      <c r="C9" s="225"/>
      <c r="D9" s="225"/>
      <c r="E9" s="225"/>
      <c r="F9" s="145"/>
      <c r="G9" s="145"/>
    </row>
    <row r="10" spans="1:7" ht="30">
      <c r="A10" s="143"/>
    </row>
    <row r="11" spans="1:7" ht="20.25">
      <c r="A11" s="146" t="s">
        <v>63</v>
      </c>
    </row>
    <row r="12" spans="1:7" ht="20.25">
      <c r="A12" s="146" t="s">
        <v>64</v>
      </c>
    </row>
    <row r="13" spans="1:7" ht="20.25">
      <c r="A13" s="146" t="s">
        <v>249</v>
      </c>
    </row>
    <row r="14" spans="1:7">
      <c r="A14" s="144" t="s">
        <v>294</v>
      </c>
    </row>
    <row r="21" spans="1:2" ht="15">
      <c r="A21" s="147" t="s">
        <v>65</v>
      </c>
      <c r="B21" s="144" t="s">
        <v>66</v>
      </c>
    </row>
    <row r="22" spans="1:2" ht="15">
      <c r="A22" s="147" t="s">
        <v>67</v>
      </c>
      <c r="B22" s="144" t="s">
        <v>68</v>
      </c>
    </row>
  </sheetData>
  <mergeCells count="1">
    <mergeCell ref="A9:E9"/>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E87C7-2A34-4847-B357-BEB06F3D394C}">
  <sheetPr codeName="Sheet8"/>
  <dimension ref="A1:D48"/>
  <sheetViews>
    <sheetView topLeftCell="A24" zoomScaleNormal="100" workbookViewId="0">
      <selection activeCell="Q9" sqref="Q9"/>
    </sheetView>
  </sheetViews>
  <sheetFormatPr defaultColWidth="9.140625" defaultRowHeight="14.25"/>
  <cols>
    <col min="1" max="1" width="44.42578125" style="153" customWidth="1"/>
    <col min="2" max="4" width="21.42578125" style="153" customWidth="1"/>
    <col min="5" max="16384" width="9.140625" style="153"/>
  </cols>
  <sheetData>
    <row r="1" spans="1:4" ht="15">
      <c r="A1" s="160" t="s">
        <v>205</v>
      </c>
    </row>
    <row r="3" spans="1:4" ht="30" customHeight="1">
      <c r="A3" s="227" t="s">
        <v>115</v>
      </c>
      <c r="B3" s="233" t="s">
        <v>287</v>
      </c>
      <c r="C3" s="233"/>
      <c r="D3" s="233"/>
    </row>
    <row r="4" spans="1:4" s="152" customFormat="1" ht="28.5">
      <c r="A4" s="228"/>
      <c r="B4" s="202" t="s">
        <v>46</v>
      </c>
      <c r="C4" s="202" t="s">
        <v>55</v>
      </c>
      <c r="D4" s="202" t="s">
        <v>51</v>
      </c>
    </row>
    <row r="5" spans="1:4">
      <c r="A5" s="156" t="s">
        <v>116</v>
      </c>
      <c r="B5" s="177" t="s">
        <v>291</v>
      </c>
      <c r="C5" s="177" t="s">
        <v>291</v>
      </c>
      <c r="D5" s="177" t="s">
        <v>291</v>
      </c>
    </row>
    <row r="6" spans="1:4">
      <c r="A6" s="153" t="s">
        <v>117</v>
      </c>
      <c r="B6" s="209">
        <v>0.5</v>
      </c>
      <c r="C6" s="209">
        <v>0.1</v>
      </c>
      <c r="D6" s="209">
        <v>0.4</v>
      </c>
    </row>
    <row r="7" spans="1:4">
      <c r="A7" s="157" t="s">
        <v>118</v>
      </c>
      <c r="B7" s="210" t="s">
        <v>291</v>
      </c>
      <c r="C7" s="210" t="s">
        <v>291</v>
      </c>
      <c r="D7" s="210" t="s">
        <v>291</v>
      </c>
    </row>
    <row r="8" spans="1:4" ht="15">
      <c r="A8" s="168" t="s">
        <v>119</v>
      </c>
      <c r="B8" s="208">
        <v>0.47</v>
      </c>
      <c r="C8" s="208">
        <v>0.16</v>
      </c>
      <c r="D8" s="208">
        <v>0.37</v>
      </c>
    </row>
    <row r="9" spans="1:4" s="152" customFormat="1" ht="30" customHeight="1">
      <c r="A9" s="232" t="s">
        <v>259</v>
      </c>
      <c r="B9" s="232"/>
      <c r="C9" s="232"/>
      <c r="D9" s="232"/>
    </row>
    <row r="10" spans="1:4" s="152" customFormat="1">
      <c r="A10" s="220" t="s">
        <v>295</v>
      </c>
      <c r="B10" s="217"/>
      <c r="C10" s="217"/>
      <c r="D10" s="217"/>
    </row>
    <row r="11" spans="1:4">
      <c r="A11" s="221" t="s">
        <v>293</v>
      </c>
    </row>
    <row r="14" spans="1:4" ht="15">
      <c r="A14" s="160" t="s">
        <v>206</v>
      </c>
    </row>
    <row r="16" spans="1:4" ht="30" customHeight="1">
      <c r="A16" s="227" t="s">
        <v>120</v>
      </c>
      <c r="B16" s="233" t="s">
        <v>287</v>
      </c>
      <c r="C16" s="233"/>
      <c r="D16" s="233"/>
    </row>
    <row r="17" spans="1:4" s="152" customFormat="1" ht="28.5">
      <c r="A17" s="228"/>
      <c r="B17" s="202" t="s">
        <v>46</v>
      </c>
      <c r="C17" s="202" t="s">
        <v>55</v>
      </c>
      <c r="D17" s="202" t="s">
        <v>51</v>
      </c>
    </row>
    <row r="18" spans="1:4">
      <c r="A18" s="156" t="s">
        <v>121</v>
      </c>
      <c r="B18" s="206">
        <v>0.4</v>
      </c>
      <c r="C18" s="206">
        <v>0.17</v>
      </c>
      <c r="D18" s="206">
        <v>0.43</v>
      </c>
    </row>
    <row r="19" spans="1:4">
      <c r="A19" s="157" t="s">
        <v>122</v>
      </c>
      <c r="B19" s="207">
        <v>0.62</v>
      </c>
      <c r="C19" s="207">
        <v>0.15</v>
      </c>
      <c r="D19" s="207">
        <v>0.23</v>
      </c>
    </row>
    <row r="20" spans="1:4" ht="15">
      <c r="A20" s="168" t="s">
        <v>137</v>
      </c>
      <c r="B20" s="208">
        <v>0.47</v>
      </c>
      <c r="C20" s="208">
        <v>0.16</v>
      </c>
      <c r="D20" s="208">
        <v>0.37</v>
      </c>
    </row>
    <row r="21" spans="1:4" ht="30" customHeight="1">
      <c r="A21" s="232" t="s">
        <v>259</v>
      </c>
      <c r="B21" s="232"/>
      <c r="C21" s="232"/>
      <c r="D21" s="232"/>
    </row>
    <row r="22" spans="1:4">
      <c r="A22" s="221" t="s">
        <v>293</v>
      </c>
    </row>
    <row r="23" spans="1:4">
      <c r="A23" s="158"/>
    </row>
    <row r="24" spans="1:4">
      <c r="A24" s="158"/>
    </row>
    <row r="25" spans="1:4" ht="15">
      <c r="A25" s="160" t="s">
        <v>207</v>
      </c>
    </row>
    <row r="27" spans="1:4" ht="30" customHeight="1">
      <c r="A27" s="227" t="s">
        <v>125</v>
      </c>
      <c r="B27" s="233" t="s">
        <v>287</v>
      </c>
      <c r="C27" s="233"/>
      <c r="D27" s="233"/>
    </row>
    <row r="28" spans="1:4" s="152" customFormat="1" ht="28.5">
      <c r="A28" s="228"/>
      <c r="B28" s="202" t="s">
        <v>46</v>
      </c>
      <c r="C28" s="202" t="s">
        <v>55</v>
      </c>
      <c r="D28" s="202" t="s">
        <v>51</v>
      </c>
    </row>
    <row r="29" spans="1:4">
      <c r="A29" s="153" t="s">
        <v>126</v>
      </c>
      <c r="B29" s="177" t="s">
        <v>291</v>
      </c>
      <c r="C29" s="177" t="s">
        <v>291</v>
      </c>
      <c r="D29" s="177" t="s">
        <v>291</v>
      </c>
    </row>
    <row r="30" spans="1:4">
      <c r="A30" s="153" t="s">
        <v>127</v>
      </c>
      <c r="B30" s="174">
        <v>0.4</v>
      </c>
      <c r="C30" s="174">
        <v>7.0000000000000007E-2</v>
      </c>
      <c r="D30" s="174">
        <v>0.53</v>
      </c>
    </row>
    <row r="31" spans="1:4">
      <c r="A31" s="153" t="s">
        <v>128</v>
      </c>
      <c r="B31" s="175">
        <v>0.55000000000000004</v>
      </c>
      <c r="C31" s="175">
        <v>0.2</v>
      </c>
      <c r="D31" s="175">
        <v>0.25</v>
      </c>
    </row>
    <row r="32" spans="1:4" ht="15">
      <c r="A32" s="169" t="s">
        <v>129</v>
      </c>
      <c r="B32" s="176">
        <v>0.47</v>
      </c>
      <c r="C32" s="176">
        <v>0.16</v>
      </c>
      <c r="D32" s="176">
        <v>0.37</v>
      </c>
    </row>
    <row r="33" spans="1:4" ht="27.95" customHeight="1">
      <c r="A33" s="232" t="s">
        <v>259</v>
      </c>
      <c r="B33" s="232"/>
      <c r="C33" s="232"/>
      <c r="D33" s="232"/>
    </row>
    <row r="34" spans="1:4">
      <c r="A34" s="220" t="s">
        <v>295</v>
      </c>
      <c r="B34" s="217"/>
      <c r="C34" s="217"/>
      <c r="D34" s="217"/>
    </row>
    <row r="35" spans="1:4">
      <c r="A35" s="161" t="s">
        <v>130</v>
      </c>
    </row>
    <row r="36" spans="1:4">
      <c r="A36" s="221" t="s">
        <v>293</v>
      </c>
    </row>
    <row r="39" spans="1:4" ht="15">
      <c r="A39" s="160" t="s">
        <v>208</v>
      </c>
    </row>
    <row r="41" spans="1:4" ht="15" customHeight="1">
      <c r="A41" s="234" t="s">
        <v>131</v>
      </c>
      <c r="B41" s="233" t="s">
        <v>288</v>
      </c>
      <c r="C41" s="233"/>
      <c r="D41" s="233"/>
    </row>
    <row r="42" spans="1:4" ht="14.1" customHeight="1">
      <c r="A42" s="235"/>
      <c r="B42" s="237"/>
      <c r="C42" s="237"/>
      <c r="D42" s="237"/>
    </row>
    <row r="43" spans="1:4" ht="28.5">
      <c r="A43" s="236"/>
      <c r="B43" s="202" t="s">
        <v>46</v>
      </c>
      <c r="C43" s="202" t="s">
        <v>55</v>
      </c>
      <c r="D43" s="202" t="s">
        <v>51</v>
      </c>
    </row>
    <row r="44" spans="1:4">
      <c r="A44" s="158">
        <v>2021</v>
      </c>
      <c r="B44" s="214">
        <v>0.43</v>
      </c>
      <c r="C44" s="206">
        <v>0.22</v>
      </c>
      <c r="D44" s="206">
        <v>0.34</v>
      </c>
    </row>
    <row r="45" spans="1:4">
      <c r="A45" s="158">
        <v>2022</v>
      </c>
      <c r="B45" s="215">
        <v>0.73</v>
      </c>
      <c r="C45" s="209">
        <v>0.11</v>
      </c>
      <c r="D45" s="209">
        <v>0.16</v>
      </c>
    </row>
    <row r="46" spans="1:4" s="160" customFormat="1" ht="15">
      <c r="A46" s="182">
        <v>2023</v>
      </c>
      <c r="B46" s="216">
        <v>0.47</v>
      </c>
      <c r="C46" s="208">
        <v>0.16</v>
      </c>
      <c r="D46" s="208">
        <v>0.37</v>
      </c>
    </row>
    <row r="47" spans="1:4" ht="27.95" customHeight="1">
      <c r="A47" s="232" t="s">
        <v>259</v>
      </c>
      <c r="B47" s="232"/>
      <c r="C47" s="232"/>
      <c r="D47" s="232"/>
    </row>
    <row r="48" spans="1:4">
      <c r="A48" s="221" t="s">
        <v>293</v>
      </c>
    </row>
  </sheetData>
  <mergeCells count="12">
    <mergeCell ref="A47:D47"/>
    <mergeCell ref="A41:A43"/>
    <mergeCell ref="B41:D42"/>
    <mergeCell ref="A33:D33"/>
    <mergeCell ref="A27:A28"/>
    <mergeCell ref="B27:D27"/>
    <mergeCell ref="A21:D21"/>
    <mergeCell ref="A3:A4"/>
    <mergeCell ref="B3:D3"/>
    <mergeCell ref="A16:A17"/>
    <mergeCell ref="B16:D16"/>
    <mergeCell ref="A9:D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A40A9-B275-461E-BA5B-4E6B64C12598}">
  <sheetPr codeName="Sheet9"/>
  <dimension ref="A1:D52"/>
  <sheetViews>
    <sheetView topLeftCell="A31" zoomScaleNormal="100" workbookViewId="0">
      <selection activeCell="Q9" sqref="Q9"/>
    </sheetView>
  </sheetViews>
  <sheetFormatPr defaultColWidth="9.140625" defaultRowHeight="14.25"/>
  <cols>
    <col min="1" max="1" width="44.42578125" style="153" customWidth="1"/>
    <col min="2" max="4" width="17.42578125" style="153" customWidth="1"/>
    <col min="5" max="16384" width="9.140625" style="153"/>
  </cols>
  <sheetData>
    <row r="1" spans="1:4" ht="15">
      <c r="A1" s="160" t="s">
        <v>209</v>
      </c>
    </row>
    <row r="3" spans="1:4" ht="15" customHeight="1">
      <c r="A3" s="227" t="s">
        <v>115</v>
      </c>
      <c r="B3" s="233" t="s">
        <v>286</v>
      </c>
      <c r="C3" s="233"/>
      <c r="D3" s="233"/>
    </row>
    <row r="4" spans="1:4">
      <c r="A4" s="228"/>
      <c r="B4" s="172" t="s">
        <v>38</v>
      </c>
      <c r="C4" s="172" t="s">
        <v>49</v>
      </c>
      <c r="D4" s="172" t="s">
        <v>138</v>
      </c>
    </row>
    <row r="5" spans="1:4">
      <c r="A5" s="156" t="s">
        <v>116</v>
      </c>
      <c r="B5" s="177" t="s">
        <v>291</v>
      </c>
      <c r="C5" s="177" t="s">
        <v>291</v>
      </c>
      <c r="D5" s="177" t="s">
        <v>291</v>
      </c>
    </row>
    <row r="6" spans="1:4" ht="16.5">
      <c r="A6" s="153" t="s">
        <v>117</v>
      </c>
      <c r="B6" s="174" t="s">
        <v>264</v>
      </c>
      <c r="C6" s="174" t="s">
        <v>265</v>
      </c>
      <c r="D6" s="174" t="s">
        <v>266</v>
      </c>
    </row>
    <row r="7" spans="1:4">
      <c r="A7" s="157" t="s">
        <v>118</v>
      </c>
      <c r="B7" s="179" t="s">
        <v>291</v>
      </c>
      <c r="C7" s="179" t="s">
        <v>291</v>
      </c>
      <c r="D7" s="179" t="s">
        <v>291</v>
      </c>
    </row>
    <row r="8" spans="1:4" ht="17.25">
      <c r="A8" s="168" t="s">
        <v>119</v>
      </c>
      <c r="B8" s="176" t="s">
        <v>261</v>
      </c>
      <c r="C8" s="176" t="s">
        <v>262</v>
      </c>
      <c r="D8" s="176" t="s">
        <v>263</v>
      </c>
    </row>
    <row r="9" spans="1:4" ht="27.95" customHeight="1">
      <c r="A9" s="232" t="s">
        <v>260</v>
      </c>
      <c r="B9" s="232"/>
      <c r="C9" s="232"/>
      <c r="D9" s="232"/>
    </row>
    <row r="10" spans="1:4" ht="14.1" customHeight="1">
      <c r="A10" s="238" t="s">
        <v>283</v>
      </c>
      <c r="B10" s="238"/>
      <c r="C10" s="238"/>
      <c r="D10" s="238"/>
    </row>
    <row r="11" spans="1:4" ht="14.1" customHeight="1">
      <c r="A11" s="220" t="s">
        <v>295</v>
      </c>
      <c r="B11" s="217"/>
      <c r="C11" s="217"/>
      <c r="D11" s="217"/>
    </row>
    <row r="12" spans="1:4">
      <c r="A12" s="221" t="s">
        <v>293</v>
      </c>
    </row>
    <row r="15" spans="1:4" ht="15">
      <c r="A15" s="160" t="s">
        <v>210</v>
      </c>
    </row>
    <row r="17" spans="1:4">
      <c r="A17" s="227" t="s">
        <v>120</v>
      </c>
      <c r="B17" s="233" t="s">
        <v>286</v>
      </c>
      <c r="C17" s="233"/>
      <c r="D17" s="233"/>
    </row>
    <row r="18" spans="1:4">
      <c r="A18" s="228"/>
      <c r="B18" s="172" t="s">
        <v>38</v>
      </c>
      <c r="C18" s="172" t="s">
        <v>49</v>
      </c>
      <c r="D18" s="172" t="s">
        <v>138</v>
      </c>
    </row>
    <row r="19" spans="1:4" ht="16.5">
      <c r="A19" s="153" t="s">
        <v>121</v>
      </c>
      <c r="B19" s="173" t="s">
        <v>267</v>
      </c>
      <c r="C19" s="173" t="s">
        <v>268</v>
      </c>
      <c r="D19" s="173" t="s">
        <v>269</v>
      </c>
    </row>
    <row r="20" spans="1:4">
      <c r="A20" s="153" t="s">
        <v>122</v>
      </c>
      <c r="B20" s="174">
        <v>0.3</v>
      </c>
      <c r="C20" s="174">
        <v>0</v>
      </c>
      <c r="D20" s="174">
        <v>0.7</v>
      </c>
    </row>
    <row r="21" spans="1:4">
      <c r="A21" s="153" t="s">
        <v>123</v>
      </c>
      <c r="B21" s="179" t="s">
        <v>291</v>
      </c>
      <c r="C21" s="179" t="s">
        <v>291</v>
      </c>
      <c r="D21" s="179" t="s">
        <v>291</v>
      </c>
    </row>
    <row r="22" spans="1:4" ht="17.25">
      <c r="A22" s="169" t="s">
        <v>124</v>
      </c>
      <c r="B22" s="176" t="s">
        <v>261</v>
      </c>
      <c r="C22" s="176" t="s">
        <v>262</v>
      </c>
      <c r="D22" s="176" t="s">
        <v>263</v>
      </c>
    </row>
    <row r="23" spans="1:4" ht="27.95" customHeight="1">
      <c r="A23" s="232" t="s">
        <v>260</v>
      </c>
      <c r="B23" s="232"/>
      <c r="C23" s="232"/>
      <c r="D23" s="232"/>
    </row>
    <row r="24" spans="1:4" ht="15" customHeight="1">
      <c r="A24" s="238" t="s">
        <v>283</v>
      </c>
      <c r="B24" s="238"/>
      <c r="C24" s="238"/>
      <c r="D24" s="238"/>
    </row>
    <row r="25" spans="1:4" ht="15" customHeight="1">
      <c r="A25" s="220" t="s">
        <v>295</v>
      </c>
      <c r="B25" s="217"/>
      <c r="C25" s="217"/>
      <c r="D25" s="217"/>
    </row>
    <row r="26" spans="1:4">
      <c r="A26" s="221" t="s">
        <v>293</v>
      </c>
    </row>
    <row r="27" spans="1:4">
      <c r="A27" s="158"/>
    </row>
    <row r="28" spans="1:4">
      <c r="A28" s="158"/>
    </row>
    <row r="29" spans="1:4" ht="15">
      <c r="A29" s="160" t="s">
        <v>211</v>
      </c>
    </row>
    <row r="31" spans="1:4">
      <c r="A31" s="227" t="s">
        <v>125</v>
      </c>
      <c r="B31" s="233" t="s">
        <v>286</v>
      </c>
      <c r="C31" s="233"/>
      <c r="D31" s="233"/>
    </row>
    <row r="32" spans="1:4">
      <c r="A32" s="228"/>
      <c r="B32" s="172" t="s">
        <v>38</v>
      </c>
      <c r="C32" s="172" t="s">
        <v>49</v>
      </c>
      <c r="D32" s="172" t="s">
        <v>138</v>
      </c>
    </row>
    <row r="33" spans="1:4">
      <c r="A33" s="153" t="s">
        <v>126</v>
      </c>
      <c r="B33" s="173">
        <v>0.2</v>
      </c>
      <c r="C33" s="173">
        <v>0.1</v>
      </c>
      <c r="D33" s="173">
        <v>0.7</v>
      </c>
    </row>
    <row r="34" spans="1:4">
      <c r="A34" s="153" t="s">
        <v>127</v>
      </c>
      <c r="B34" s="174">
        <v>0.13</v>
      </c>
      <c r="C34" s="174">
        <v>0.06</v>
      </c>
      <c r="D34" s="174">
        <v>0.81</v>
      </c>
    </row>
    <row r="35" spans="1:4" ht="16.5">
      <c r="A35" s="153" t="s">
        <v>128</v>
      </c>
      <c r="B35" s="175" t="s">
        <v>270</v>
      </c>
      <c r="C35" s="175" t="s">
        <v>271</v>
      </c>
      <c r="D35" s="175" t="s">
        <v>272</v>
      </c>
    </row>
    <row r="36" spans="1:4" ht="17.25">
      <c r="A36" s="159" t="s">
        <v>129</v>
      </c>
      <c r="B36" s="176" t="s">
        <v>261</v>
      </c>
      <c r="C36" s="176" t="s">
        <v>262</v>
      </c>
      <c r="D36" s="176" t="s">
        <v>263</v>
      </c>
    </row>
    <row r="37" spans="1:4" ht="27.95" customHeight="1">
      <c r="A37" s="232" t="s">
        <v>260</v>
      </c>
      <c r="B37" s="232"/>
      <c r="C37" s="232"/>
      <c r="D37" s="232"/>
    </row>
    <row r="38" spans="1:4" ht="15" customHeight="1">
      <c r="A38" s="238" t="s">
        <v>283</v>
      </c>
      <c r="B38" s="238"/>
      <c r="C38" s="238"/>
      <c r="D38" s="238"/>
    </row>
    <row r="39" spans="1:4">
      <c r="A39" s="161" t="s">
        <v>130</v>
      </c>
    </row>
    <row r="40" spans="1:4">
      <c r="A40" s="221" t="s">
        <v>293</v>
      </c>
    </row>
    <row r="43" spans="1:4" ht="15">
      <c r="A43" s="160" t="s">
        <v>212</v>
      </c>
    </row>
    <row r="45" spans="1:4">
      <c r="A45" s="227" t="s">
        <v>131</v>
      </c>
      <c r="B45" s="233" t="s">
        <v>286</v>
      </c>
      <c r="C45" s="233"/>
      <c r="D45" s="233"/>
    </row>
    <row r="46" spans="1:4">
      <c r="A46" s="228"/>
      <c r="B46" s="172" t="s">
        <v>38</v>
      </c>
      <c r="C46" s="172" t="s">
        <v>49</v>
      </c>
      <c r="D46" s="172" t="s">
        <v>138</v>
      </c>
    </row>
    <row r="47" spans="1:4">
      <c r="A47" s="158">
        <v>2021</v>
      </c>
      <c r="B47" s="212">
        <v>0.1</v>
      </c>
      <c r="C47" s="173">
        <v>0.19</v>
      </c>
      <c r="D47" s="173">
        <v>0.71</v>
      </c>
    </row>
    <row r="48" spans="1:4">
      <c r="A48" s="158">
        <v>2022</v>
      </c>
      <c r="B48" s="213">
        <v>0.16</v>
      </c>
      <c r="C48" s="174">
        <v>0.24</v>
      </c>
      <c r="D48" s="174">
        <v>0.6</v>
      </c>
    </row>
    <row r="49" spans="1:4" s="160" customFormat="1" ht="17.25">
      <c r="A49" s="182">
        <v>2023</v>
      </c>
      <c r="B49" s="176" t="s">
        <v>261</v>
      </c>
      <c r="C49" s="176" t="s">
        <v>262</v>
      </c>
      <c r="D49" s="176" t="s">
        <v>263</v>
      </c>
    </row>
    <row r="50" spans="1:4" ht="27.95" customHeight="1">
      <c r="A50" s="232" t="s">
        <v>260</v>
      </c>
      <c r="B50" s="232"/>
      <c r="C50" s="232"/>
      <c r="D50" s="232"/>
    </row>
    <row r="51" spans="1:4" ht="15" customHeight="1">
      <c r="A51" s="238" t="s">
        <v>283</v>
      </c>
      <c r="B51" s="238"/>
      <c r="C51" s="238"/>
      <c r="D51" s="238"/>
    </row>
    <row r="52" spans="1:4">
      <c r="A52" s="221" t="s">
        <v>293</v>
      </c>
    </row>
  </sheetData>
  <mergeCells count="16">
    <mergeCell ref="A51:D51"/>
    <mergeCell ref="A3:A4"/>
    <mergeCell ref="A17:A18"/>
    <mergeCell ref="A9:D9"/>
    <mergeCell ref="B17:D17"/>
    <mergeCell ref="B3:D3"/>
    <mergeCell ref="A10:D10"/>
    <mergeCell ref="A45:A46"/>
    <mergeCell ref="A50:D50"/>
    <mergeCell ref="A23:D23"/>
    <mergeCell ref="A37:D37"/>
    <mergeCell ref="A31:A32"/>
    <mergeCell ref="B45:D45"/>
    <mergeCell ref="B31:D31"/>
    <mergeCell ref="A24:D24"/>
    <mergeCell ref="A38:D3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5FCAF-3EAF-4CC8-AE2C-39BD5CE4A4DC}">
  <sheetPr codeName="Sheet10"/>
  <dimension ref="A1:C46"/>
  <sheetViews>
    <sheetView topLeftCell="A12" zoomScaleNormal="100" workbookViewId="0">
      <selection activeCell="Q9" sqref="Q9"/>
    </sheetView>
  </sheetViews>
  <sheetFormatPr defaultColWidth="9.140625" defaultRowHeight="14.25"/>
  <cols>
    <col min="1" max="1" width="44.42578125" style="153" customWidth="1"/>
    <col min="2" max="3" width="21.42578125" style="153" customWidth="1"/>
    <col min="4" max="16384" width="9.140625" style="153"/>
  </cols>
  <sheetData>
    <row r="1" spans="1:3" ht="15">
      <c r="A1" s="160" t="s">
        <v>213</v>
      </c>
    </row>
    <row r="3" spans="1:3" ht="15" customHeight="1">
      <c r="A3" s="227" t="s">
        <v>115</v>
      </c>
      <c r="B3" s="229" t="s">
        <v>285</v>
      </c>
      <c r="C3" s="229"/>
    </row>
    <row r="4" spans="1:3">
      <c r="A4" s="228"/>
      <c r="B4" s="172" t="s">
        <v>36</v>
      </c>
      <c r="C4" s="172" t="s">
        <v>35</v>
      </c>
    </row>
    <row r="5" spans="1:3">
      <c r="A5" s="156" t="s">
        <v>116</v>
      </c>
      <c r="B5" s="177">
        <v>0.64</v>
      </c>
      <c r="C5" s="177">
        <v>0.36</v>
      </c>
    </row>
    <row r="6" spans="1:3">
      <c r="A6" s="153" t="s">
        <v>117</v>
      </c>
      <c r="B6" s="174">
        <v>0.17</v>
      </c>
      <c r="C6" s="174">
        <v>0.83</v>
      </c>
    </row>
    <row r="7" spans="1:3">
      <c r="A7" s="157" t="s">
        <v>118</v>
      </c>
      <c r="B7" s="179">
        <v>0.2</v>
      </c>
      <c r="C7" s="179">
        <v>0.8</v>
      </c>
    </row>
    <row r="8" spans="1:3" ht="15">
      <c r="A8" s="168" t="s">
        <v>119</v>
      </c>
      <c r="B8" s="176">
        <v>0.28000000000000003</v>
      </c>
      <c r="C8" s="176">
        <v>0.72</v>
      </c>
    </row>
    <row r="9" spans="1:3">
      <c r="A9" s="226" t="s">
        <v>258</v>
      </c>
      <c r="B9" s="226"/>
      <c r="C9" s="226"/>
    </row>
    <row r="10" spans="1:3">
      <c r="A10" s="221" t="s">
        <v>293</v>
      </c>
    </row>
    <row r="13" spans="1:3" ht="15">
      <c r="A13" s="160" t="s">
        <v>214</v>
      </c>
    </row>
    <row r="15" spans="1:3" ht="16.5">
      <c r="A15" s="227" t="s">
        <v>120</v>
      </c>
      <c r="B15" s="229" t="s">
        <v>285</v>
      </c>
      <c r="C15" s="229"/>
    </row>
    <row r="16" spans="1:3">
      <c r="A16" s="228"/>
      <c r="B16" s="172" t="s">
        <v>36</v>
      </c>
      <c r="C16" s="172" t="s">
        <v>35</v>
      </c>
    </row>
    <row r="17" spans="1:3">
      <c r="A17" s="153" t="s">
        <v>121</v>
      </c>
      <c r="B17" s="173">
        <v>0.28000000000000003</v>
      </c>
      <c r="C17" s="173">
        <v>0.72</v>
      </c>
    </row>
    <row r="18" spans="1:3">
      <c r="A18" s="153" t="s">
        <v>122</v>
      </c>
      <c r="B18" s="174">
        <v>0.31</v>
      </c>
      <c r="C18" s="174">
        <v>0.69</v>
      </c>
    </row>
    <row r="19" spans="1:3">
      <c r="A19" s="153" t="s">
        <v>123</v>
      </c>
      <c r="B19" s="175">
        <v>0.2</v>
      </c>
      <c r="C19" s="175">
        <v>0.8</v>
      </c>
    </row>
    <row r="20" spans="1:3" ht="15">
      <c r="A20" s="169" t="s">
        <v>124</v>
      </c>
      <c r="B20" s="176">
        <v>0.28000000000000003</v>
      </c>
      <c r="C20" s="176">
        <v>0.72</v>
      </c>
    </row>
    <row r="21" spans="1:3">
      <c r="A21" s="226" t="s">
        <v>258</v>
      </c>
      <c r="B21" s="226"/>
      <c r="C21" s="226"/>
    </row>
    <row r="22" spans="1:3">
      <c r="A22" s="221" t="s">
        <v>293</v>
      </c>
    </row>
    <row r="23" spans="1:3">
      <c r="A23" s="158"/>
    </row>
    <row r="24" spans="1:3">
      <c r="A24" s="158"/>
    </row>
    <row r="25" spans="1:3" ht="14.1" customHeight="1">
      <c r="A25" s="160" t="s">
        <v>215</v>
      </c>
    </row>
    <row r="27" spans="1:3" ht="16.5">
      <c r="A27" s="227" t="s">
        <v>125</v>
      </c>
      <c r="B27" s="229" t="s">
        <v>285</v>
      </c>
      <c r="C27" s="229"/>
    </row>
    <row r="28" spans="1:3">
      <c r="A28" s="228"/>
      <c r="B28" s="172" t="s">
        <v>36</v>
      </c>
      <c r="C28" s="172" t="s">
        <v>35</v>
      </c>
    </row>
    <row r="29" spans="1:3">
      <c r="A29" s="153" t="s">
        <v>126</v>
      </c>
      <c r="B29" s="173">
        <v>0.36</v>
      </c>
      <c r="C29" s="173">
        <v>0.64</v>
      </c>
    </row>
    <row r="30" spans="1:3">
      <c r="A30" s="153" t="s">
        <v>127</v>
      </c>
      <c r="B30" s="174">
        <v>0.26</v>
      </c>
      <c r="C30" s="174">
        <v>0.74</v>
      </c>
    </row>
    <row r="31" spans="1:3">
      <c r="A31" s="153" t="s">
        <v>128</v>
      </c>
      <c r="B31" s="175">
        <v>0.26</v>
      </c>
      <c r="C31" s="175">
        <v>0.74</v>
      </c>
    </row>
    <row r="32" spans="1:3" ht="15">
      <c r="A32" s="169" t="s">
        <v>129</v>
      </c>
      <c r="B32" s="176">
        <v>0.28000000000000003</v>
      </c>
      <c r="C32" s="176">
        <v>0.72</v>
      </c>
    </row>
    <row r="33" spans="1:3">
      <c r="A33" s="226" t="s">
        <v>258</v>
      </c>
      <c r="B33" s="226"/>
      <c r="C33" s="226"/>
    </row>
    <row r="34" spans="1:3">
      <c r="A34" s="161" t="s">
        <v>130</v>
      </c>
    </row>
    <row r="35" spans="1:3">
      <c r="A35" s="221" t="s">
        <v>293</v>
      </c>
    </row>
    <row r="38" spans="1:3" ht="15">
      <c r="A38" s="160" t="s">
        <v>216</v>
      </c>
    </row>
    <row r="40" spans="1:3" ht="16.5">
      <c r="A40" s="227" t="s">
        <v>131</v>
      </c>
      <c r="B40" s="229" t="s">
        <v>285</v>
      </c>
      <c r="C40" s="229"/>
    </row>
    <row r="41" spans="1:3">
      <c r="A41" s="228"/>
      <c r="B41" s="172" t="s">
        <v>36</v>
      </c>
      <c r="C41" s="172" t="s">
        <v>35</v>
      </c>
    </row>
    <row r="42" spans="1:3">
      <c r="A42" s="158">
        <v>2021</v>
      </c>
      <c r="B42" s="173">
        <v>0.14000000000000001</v>
      </c>
      <c r="C42" s="173">
        <v>0.86</v>
      </c>
    </row>
    <row r="43" spans="1:3">
      <c r="A43" s="158">
        <v>2022</v>
      </c>
      <c r="B43" s="174">
        <v>0.15</v>
      </c>
      <c r="C43" s="174">
        <v>0.85</v>
      </c>
    </row>
    <row r="44" spans="1:3" ht="15">
      <c r="A44" s="171">
        <v>2023</v>
      </c>
      <c r="B44" s="176">
        <v>0.28000000000000003</v>
      </c>
      <c r="C44" s="176">
        <v>0.72</v>
      </c>
    </row>
    <row r="45" spans="1:3">
      <c r="A45" s="226" t="s">
        <v>258</v>
      </c>
      <c r="B45" s="226"/>
      <c r="C45" s="226"/>
    </row>
    <row r="46" spans="1:3">
      <c r="A46" s="221" t="s">
        <v>293</v>
      </c>
    </row>
  </sheetData>
  <mergeCells count="12">
    <mergeCell ref="A40:A41"/>
    <mergeCell ref="B40:C40"/>
    <mergeCell ref="A45:C45"/>
    <mergeCell ref="A33:C33"/>
    <mergeCell ref="A27:A28"/>
    <mergeCell ref="B27:C27"/>
    <mergeCell ref="A21:C21"/>
    <mergeCell ref="A3:A4"/>
    <mergeCell ref="B3:C3"/>
    <mergeCell ref="A15:A16"/>
    <mergeCell ref="B15:C15"/>
    <mergeCell ref="A9:C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AC1E2-0DFD-4D78-B85D-201B5680C456}">
  <sheetPr codeName="Sheet11"/>
  <dimension ref="A1:C36"/>
  <sheetViews>
    <sheetView zoomScaleNormal="100" workbookViewId="0">
      <selection activeCell="Q9" sqref="Q9"/>
    </sheetView>
  </sheetViews>
  <sheetFormatPr defaultColWidth="9.140625" defaultRowHeight="14.25"/>
  <cols>
    <col min="1" max="1" width="44.42578125" style="153" customWidth="1"/>
    <col min="2" max="3" width="21.42578125" style="153" customWidth="1"/>
    <col min="4" max="16384" width="9.140625" style="153"/>
  </cols>
  <sheetData>
    <row r="1" spans="1:3" ht="15">
      <c r="A1" s="160" t="s">
        <v>217</v>
      </c>
    </row>
    <row r="3" spans="1:3" ht="15" customHeight="1">
      <c r="A3" s="227" t="s">
        <v>115</v>
      </c>
      <c r="B3" s="229" t="s">
        <v>285</v>
      </c>
      <c r="C3" s="229"/>
    </row>
    <row r="4" spans="1:3">
      <c r="A4" s="228"/>
      <c r="B4" s="172" t="s">
        <v>36</v>
      </c>
      <c r="C4" s="172" t="s">
        <v>35</v>
      </c>
    </row>
    <row r="5" spans="1:3">
      <c r="A5" s="156" t="s">
        <v>116</v>
      </c>
      <c r="B5" s="177" t="s">
        <v>291</v>
      </c>
      <c r="C5" s="177" t="s">
        <v>291</v>
      </c>
    </row>
    <row r="6" spans="1:3">
      <c r="A6" s="153" t="s">
        <v>117</v>
      </c>
      <c r="B6" s="178">
        <v>0.48</v>
      </c>
      <c r="C6" s="178">
        <v>0.52</v>
      </c>
    </row>
    <row r="7" spans="1:3">
      <c r="A7" s="157" t="s">
        <v>118</v>
      </c>
      <c r="B7" s="179" t="s">
        <v>291</v>
      </c>
      <c r="C7" s="179" t="s">
        <v>291</v>
      </c>
    </row>
    <row r="8" spans="1:3" ht="15">
      <c r="A8" s="168" t="s">
        <v>119</v>
      </c>
      <c r="B8" s="176">
        <v>0.51</v>
      </c>
      <c r="C8" s="176">
        <v>0.49</v>
      </c>
    </row>
    <row r="9" spans="1:3">
      <c r="A9" s="226" t="s">
        <v>258</v>
      </c>
      <c r="B9" s="226"/>
      <c r="C9" s="226"/>
    </row>
    <row r="10" spans="1:3">
      <c r="A10" s="220" t="s">
        <v>295</v>
      </c>
      <c r="B10" s="219"/>
      <c r="C10" s="219"/>
    </row>
    <row r="11" spans="1:3">
      <c r="A11" s="221" t="s">
        <v>293</v>
      </c>
    </row>
    <row r="14" spans="1:3" ht="15">
      <c r="A14" s="160" t="s">
        <v>218</v>
      </c>
    </row>
    <row r="16" spans="1:3" ht="15" customHeight="1">
      <c r="A16" s="227" t="s">
        <v>125</v>
      </c>
      <c r="B16" s="229" t="s">
        <v>285</v>
      </c>
      <c r="C16" s="229"/>
    </row>
    <row r="17" spans="1:3">
      <c r="A17" s="228"/>
      <c r="B17" s="172" t="s">
        <v>36</v>
      </c>
      <c r="C17" s="172" t="s">
        <v>35</v>
      </c>
    </row>
    <row r="18" spans="1:3">
      <c r="A18" s="153" t="s">
        <v>126</v>
      </c>
      <c r="B18" s="173" t="s">
        <v>291</v>
      </c>
      <c r="C18" s="173" t="s">
        <v>291</v>
      </c>
    </row>
    <row r="19" spans="1:3">
      <c r="A19" s="153" t="s">
        <v>127</v>
      </c>
      <c r="B19" s="174">
        <v>0.73</v>
      </c>
      <c r="C19" s="174">
        <v>0.27</v>
      </c>
    </row>
    <row r="20" spans="1:3">
      <c r="A20" s="153" t="s">
        <v>128</v>
      </c>
      <c r="B20" s="175">
        <v>0.39</v>
      </c>
      <c r="C20" s="175">
        <v>0.61</v>
      </c>
    </row>
    <row r="21" spans="1:3" ht="15">
      <c r="A21" s="169" t="s">
        <v>129</v>
      </c>
      <c r="B21" s="176">
        <v>0.51</v>
      </c>
      <c r="C21" s="176">
        <v>0.49</v>
      </c>
    </row>
    <row r="22" spans="1:3">
      <c r="A22" s="226" t="s">
        <v>258</v>
      </c>
      <c r="B22" s="226"/>
      <c r="C22" s="226"/>
    </row>
    <row r="23" spans="1:3">
      <c r="A23" s="220" t="s">
        <v>295</v>
      </c>
      <c r="B23" s="219"/>
      <c r="C23" s="219"/>
    </row>
    <row r="24" spans="1:3">
      <c r="A24" s="161" t="s">
        <v>130</v>
      </c>
    </row>
    <row r="25" spans="1:3">
      <c r="A25" s="221" t="s">
        <v>293</v>
      </c>
    </row>
    <row r="28" spans="1:3" ht="15">
      <c r="A28" s="160" t="s">
        <v>219</v>
      </c>
    </row>
    <row r="30" spans="1:3" ht="16.5">
      <c r="A30" s="227" t="s">
        <v>131</v>
      </c>
      <c r="B30" s="229" t="s">
        <v>285</v>
      </c>
      <c r="C30" s="229"/>
    </row>
    <row r="31" spans="1:3">
      <c r="A31" s="228"/>
      <c r="B31" s="172" t="s">
        <v>36</v>
      </c>
      <c r="C31" s="172" t="s">
        <v>35</v>
      </c>
    </row>
    <row r="32" spans="1:3">
      <c r="A32" s="158">
        <v>2021</v>
      </c>
      <c r="B32" s="173">
        <v>0.48</v>
      </c>
      <c r="C32" s="173">
        <v>0.52</v>
      </c>
    </row>
    <row r="33" spans="1:3">
      <c r="A33" s="158">
        <v>2022</v>
      </c>
      <c r="B33" s="174">
        <v>0.59</v>
      </c>
      <c r="C33" s="174">
        <v>0.41</v>
      </c>
    </row>
    <row r="34" spans="1:3" ht="15">
      <c r="A34" s="182">
        <v>2023</v>
      </c>
      <c r="B34" s="176">
        <v>0.51</v>
      </c>
      <c r="C34" s="176">
        <v>0.49</v>
      </c>
    </row>
    <row r="35" spans="1:3">
      <c r="A35" s="226" t="s">
        <v>258</v>
      </c>
      <c r="B35" s="226"/>
      <c r="C35" s="226"/>
    </row>
    <row r="36" spans="1:3">
      <c r="A36" s="221" t="s">
        <v>293</v>
      </c>
    </row>
  </sheetData>
  <mergeCells count="9">
    <mergeCell ref="A30:A31"/>
    <mergeCell ref="B30:C30"/>
    <mergeCell ref="A35:C35"/>
    <mergeCell ref="A22:C22"/>
    <mergeCell ref="A3:A4"/>
    <mergeCell ref="B3:C3"/>
    <mergeCell ref="A16:A17"/>
    <mergeCell ref="B16:C16"/>
    <mergeCell ref="A9:C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A17AD-C1DC-401F-A695-47D064A30BC5}">
  <sheetPr codeName="Sheet12"/>
  <dimension ref="A1:C46"/>
  <sheetViews>
    <sheetView topLeftCell="A12" zoomScaleNormal="100" workbookViewId="0">
      <selection activeCell="Q9" sqref="Q9"/>
    </sheetView>
  </sheetViews>
  <sheetFormatPr defaultColWidth="9.140625" defaultRowHeight="14.25"/>
  <cols>
    <col min="1" max="1" width="44.42578125" style="153" customWidth="1"/>
    <col min="2" max="3" width="21.42578125" style="153" customWidth="1"/>
    <col min="4" max="16384" width="9.140625" style="153"/>
  </cols>
  <sheetData>
    <row r="1" spans="1:3" ht="15">
      <c r="A1" s="160" t="s">
        <v>220</v>
      </c>
    </row>
    <row r="3" spans="1:3" ht="16.5">
      <c r="A3" s="227" t="s">
        <v>115</v>
      </c>
      <c r="B3" s="229" t="s">
        <v>285</v>
      </c>
      <c r="C3" s="229"/>
    </row>
    <row r="4" spans="1:3">
      <c r="A4" s="228"/>
      <c r="B4" s="172" t="s">
        <v>36</v>
      </c>
      <c r="C4" s="172" t="s">
        <v>35</v>
      </c>
    </row>
    <row r="5" spans="1:3">
      <c r="A5" s="156" t="s">
        <v>116</v>
      </c>
      <c r="B5" s="177" t="s">
        <v>291</v>
      </c>
      <c r="C5" s="177" t="s">
        <v>291</v>
      </c>
    </row>
    <row r="6" spans="1:3">
      <c r="A6" s="153" t="s">
        <v>117</v>
      </c>
      <c r="B6" s="174">
        <v>0.61</v>
      </c>
      <c r="C6" s="174">
        <v>0.39</v>
      </c>
    </row>
    <row r="7" spans="1:3">
      <c r="A7" s="157" t="s">
        <v>118</v>
      </c>
      <c r="B7" s="179" t="s">
        <v>291</v>
      </c>
      <c r="C7" s="179" t="s">
        <v>291</v>
      </c>
    </row>
    <row r="8" spans="1:3" ht="15">
      <c r="A8" s="168" t="s">
        <v>119</v>
      </c>
      <c r="B8" s="176">
        <v>0.57999999999999996</v>
      </c>
      <c r="C8" s="176">
        <v>0.42</v>
      </c>
    </row>
    <row r="9" spans="1:3">
      <c r="A9" s="226" t="s">
        <v>258</v>
      </c>
      <c r="B9" s="226"/>
      <c r="C9" s="226"/>
    </row>
    <row r="10" spans="1:3">
      <c r="A10" s="220" t="s">
        <v>295</v>
      </c>
      <c r="B10" s="219"/>
      <c r="C10" s="219"/>
    </row>
    <row r="11" spans="1:3">
      <c r="A11" s="221" t="s">
        <v>293</v>
      </c>
    </row>
    <row r="14" spans="1:3" ht="15">
      <c r="A14" s="160" t="s">
        <v>221</v>
      </c>
    </row>
    <row r="16" spans="1:3" ht="16.5">
      <c r="A16" s="227" t="s">
        <v>120</v>
      </c>
      <c r="B16" s="229" t="s">
        <v>285</v>
      </c>
      <c r="C16" s="229"/>
    </row>
    <row r="17" spans="1:3">
      <c r="A17" s="228"/>
      <c r="B17" s="172" t="s">
        <v>36</v>
      </c>
      <c r="C17" s="172" t="s">
        <v>35</v>
      </c>
    </row>
    <row r="18" spans="1:3">
      <c r="A18" s="156" t="s">
        <v>121</v>
      </c>
      <c r="B18" s="173">
        <v>0.64</v>
      </c>
      <c r="C18" s="173">
        <v>0.36</v>
      </c>
    </row>
    <row r="19" spans="1:3">
      <c r="A19" s="157" t="s">
        <v>122</v>
      </c>
      <c r="B19" s="175">
        <v>0.43</v>
      </c>
      <c r="C19" s="175">
        <v>0.56999999999999995</v>
      </c>
    </row>
    <row r="20" spans="1:3" ht="15">
      <c r="A20" s="168" t="s">
        <v>137</v>
      </c>
      <c r="B20" s="176">
        <v>0.57999999999999996</v>
      </c>
      <c r="C20" s="176">
        <v>0.42</v>
      </c>
    </row>
    <row r="21" spans="1:3" s="162" customFormat="1">
      <c r="A21" s="226" t="s">
        <v>258</v>
      </c>
      <c r="B21" s="226"/>
      <c r="C21" s="226"/>
    </row>
    <row r="22" spans="1:3">
      <c r="A22" s="221" t="s">
        <v>293</v>
      </c>
    </row>
    <row r="23" spans="1:3">
      <c r="A23" s="158"/>
    </row>
    <row r="24" spans="1:3">
      <c r="A24" s="158"/>
    </row>
    <row r="25" spans="1:3" ht="15">
      <c r="A25" s="160" t="s">
        <v>222</v>
      </c>
    </row>
    <row r="27" spans="1:3" ht="16.5">
      <c r="A27" s="227" t="s">
        <v>125</v>
      </c>
      <c r="B27" s="229" t="s">
        <v>285</v>
      </c>
      <c r="C27" s="229"/>
    </row>
    <row r="28" spans="1:3">
      <c r="A28" s="228"/>
      <c r="B28" s="172" t="s">
        <v>36</v>
      </c>
      <c r="C28" s="172" t="s">
        <v>35</v>
      </c>
    </row>
    <row r="29" spans="1:3">
      <c r="A29" s="153" t="s">
        <v>126</v>
      </c>
      <c r="B29" s="173">
        <v>0.82</v>
      </c>
      <c r="C29" s="173">
        <v>0.18</v>
      </c>
    </row>
    <row r="30" spans="1:3">
      <c r="A30" s="153" t="s">
        <v>127</v>
      </c>
      <c r="B30" s="174">
        <v>0.61</v>
      </c>
      <c r="C30" s="174">
        <v>0.39</v>
      </c>
    </row>
    <row r="31" spans="1:3">
      <c r="A31" s="153" t="s">
        <v>128</v>
      </c>
      <c r="B31" s="175">
        <v>0.46</v>
      </c>
      <c r="C31" s="175">
        <v>0.54</v>
      </c>
    </row>
    <row r="32" spans="1:3" ht="15">
      <c r="A32" s="169" t="s">
        <v>129</v>
      </c>
      <c r="B32" s="176">
        <v>0.57999999999999996</v>
      </c>
      <c r="C32" s="176">
        <v>0.42</v>
      </c>
    </row>
    <row r="33" spans="1:3">
      <c r="A33" s="226" t="s">
        <v>258</v>
      </c>
      <c r="B33" s="226"/>
      <c r="C33" s="226"/>
    </row>
    <row r="34" spans="1:3">
      <c r="A34" s="161" t="s">
        <v>130</v>
      </c>
    </row>
    <row r="35" spans="1:3">
      <c r="A35" s="221" t="s">
        <v>293</v>
      </c>
    </row>
    <row r="38" spans="1:3" ht="15">
      <c r="A38" s="160" t="s">
        <v>223</v>
      </c>
    </row>
    <row r="40" spans="1:3" ht="16.5">
      <c r="A40" s="227" t="s">
        <v>131</v>
      </c>
      <c r="B40" s="229" t="s">
        <v>285</v>
      </c>
      <c r="C40" s="229"/>
    </row>
    <row r="41" spans="1:3">
      <c r="A41" s="228"/>
      <c r="B41" s="172" t="s">
        <v>36</v>
      </c>
      <c r="C41" s="172" t="s">
        <v>35</v>
      </c>
    </row>
    <row r="42" spans="1:3">
      <c r="A42" s="158">
        <v>2021</v>
      </c>
      <c r="B42" s="173">
        <v>0.55000000000000004</v>
      </c>
      <c r="C42" s="173">
        <v>0.45</v>
      </c>
    </row>
    <row r="43" spans="1:3">
      <c r="A43" s="158">
        <v>2022</v>
      </c>
      <c r="B43" s="174">
        <v>0.6</v>
      </c>
      <c r="C43" s="174">
        <v>0.4</v>
      </c>
    </row>
    <row r="44" spans="1:3" ht="15">
      <c r="A44" s="182">
        <v>2023</v>
      </c>
      <c r="B44" s="176">
        <v>0.57999999999999996</v>
      </c>
      <c r="C44" s="176">
        <v>0.42</v>
      </c>
    </row>
    <row r="45" spans="1:3">
      <c r="A45" s="226" t="s">
        <v>258</v>
      </c>
      <c r="B45" s="226"/>
      <c r="C45" s="226"/>
    </row>
    <row r="46" spans="1:3">
      <c r="A46" s="221" t="s">
        <v>293</v>
      </c>
    </row>
  </sheetData>
  <mergeCells count="12">
    <mergeCell ref="A45:C45"/>
    <mergeCell ref="A40:A41"/>
    <mergeCell ref="B40:C40"/>
    <mergeCell ref="A33:C33"/>
    <mergeCell ref="A27:A28"/>
    <mergeCell ref="B27:C27"/>
    <mergeCell ref="A21:C21"/>
    <mergeCell ref="A3:A4"/>
    <mergeCell ref="B3:C3"/>
    <mergeCell ref="A16:A17"/>
    <mergeCell ref="B16:C16"/>
    <mergeCell ref="A9:C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342EE-44DA-443B-8241-8B278022DA2F}">
  <sheetPr codeName="Sheet13"/>
  <dimension ref="A1:C46"/>
  <sheetViews>
    <sheetView topLeftCell="A18" zoomScaleNormal="100" workbookViewId="0">
      <selection activeCell="Q9" sqref="Q9"/>
    </sheetView>
  </sheetViews>
  <sheetFormatPr defaultColWidth="9.140625" defaultRowHeight="14.25"/>
  <cols>
    <col min="1" max="1" width="44.42578125" style="153" customWidth="1"/>
    <col min="2" max="3" width="21.42578125" style="153" customWidth="1"/>
    <col min="4" max="16384" width="9.140625" style="153"/>
  </cols>
  <sheetData>
    <row r="1" spans="1:3" ht="15">
      <c r="A1" s="160" t="s">
        <v>224</v>
      </c>
    </row>
    <row r="3" spans="1:3" ht="16.5">
      <c r="A3" s="227" t="s">
        <v>115</v>
      </c>
      <c r="B3" s="229" t="s">
        <v>285</v>
      </c>
      <c r="C3" s="229"/>
    </row>
    <row r="4" spans="1:3">
      <c r="A4" s="228"/>
      <c r="B4" s="172" t="s">
        <v>36</v>
      </c>
      <c r="C4" s="172" t="s">
        <v>35</v>
      </c>
    </row>
    <row r="5" spans="1:3">
      <c r="A5" s="156" t="s">
        <v>116</v>
      </c>
      <c r="B5" s="177">
        <v>0.6</v>
      </c>
      <c r="C5" s="177">
        <v>0.4</v>
      </c>
    </row>
    <row r="6" spans="1:3">
      <c r="A6" s="153" t="s">
        <v>117</v>
      </c>
      <c r="B6" s="174">
        <v>0.26</v>
      </c>
      <c r="C6" s="174">
        <v>0.74</v>
      </c>
    </row>
    <row r="7" spans="1:3">
      <c r="A7" s="157" t="s">
        <v>118</v>
      </c>
      <c r="B7" s="179" t="s">
        <v>291</v>
      </c>
      <c r="C7" s="179" t="s">
        <v>291</v>
      </c>
    </row>
    <row r="8" spans="1:3" ht="15">
      <c r="A8" s="168" t="s">
        <v>119</v>
      </c>
      <c r="B8" s="176">
        <v>0.38</v>
      </c>
      <c r="C8" s="176">
        <v>0.62</v>
      </c>
    </row>
    <row r="9" spans="1:3">
      <c r="A9" s="226" t="s">
        <v>258</v>
      </c>
      <c r="B9" s="226"/>
      <c r="C9" s="226"/>
    </row>
    <row r="10" spans="1:3">
      <c r="A10" s="220" t="s">
        <v>295</v>
      </c>
      <c r="B10" s="219"/>
      <c r="C10" s="219"/>
    </row>
    <row r="11" spans="1:3">
      <c r="A11" s="221" t="s">
        <v>293</v>
      </c>
    </row>
    <row r="14" spans="1:3" ht="15">
      <c r="A14" s="160" t="s">
        <v>225</v>
      </c>
    </row>
    <row r="16" spans="1:3" ht="16.5">
      <c r="A16" s="227" t="s">
        <v>120</v>
      </c>
      <c r="B16" s="229" t="s">
        <v>285</v>
      </c>
      <c r="C16" s="229"/>
    </row>
    <row r="17" spans="1:3">
      <c r="A17" s="228"/>
      <c r="B17" s="172" t="s">
        <v>36</v>
      </c>
      <c r="C17" s="172" t="s">
        <v>35</v>
      </c>
    </row>
    <row r="18" spans="1:3">
      <c r="A18" s="156" t="s">
        <v>121</v>
      </c>
      <c r="B18" s="173">
        <v>0.45</v>
      </c>
      <c r="C18" s="173">
        <v>0.55000000000000004</v>
      </c>
    </row>
    <row r="19" spans="1:3">
      <c r="A19" s="157" t="s">
        <v>122</v>
      </c>
      <c r="B19" s="175">
        <v>0.21</v>
      </c>
      <c r="C19" s="175">
        <v>0.79</v>
      </c>
    </row>
    <row r="20" spans="1:3" ht="15">
      <c r="A20" s="168" t="s">
        <v>137</v>
      </c>
      <c r="B20" s="176">
        <v>0.38</v>
      </c>
      <c r="C20" s="176">
        <v>0.62</v>
      </c>
    </row>
    <row r="21" spans="1:3">
      <c r="A21" s="226" t="s">
        <v>258</v>
      </c>
      <c r="B21" s="226"/>
      <c r="C21" s="226"/>
    </row>
    <row r="22" spans="1:3">
      <c r="A22" s="221" t="s">
        <v>293</v>
      </c>
    </row>
    <row r="23" spans="1:3">
      <c r="A23" s="158"/>
    </row>
    <row r="24" spans="1:3">
      <c r="A24" s="158"/>
    </row>
    <row r="25" spans="1:3" ht="15">
      <c r="A25" s="160" t="s">
        <v>226</v>
      </c>
    </row>
    <row r="27" spans="1:3" ht="16.5">
      <c r="A27" s="227" t="s">
        <v>125</v>
      </c>
      <c r="B27" s="229" t="s">
        <v>285</v>
      </c>
      <c r="C27" s="229"/>
    </row>
    <row r="28" spans="1:3">
      <c r="A28" s="228"/>
      <c r="B28" s="172" t="s">
        <v>36</v>
      </c>
      <c r="C28" s="172" t="s">
        <v>35</v>
      </c>
    </row>
    <row r="29" spans="1:3">
      <c r="A29" s="153" t="s">
        <v>126</v>
      </c>
      <c r="B29" s="173">
        <v>0.55000000000000004</v>
      </c>
      <c r="C29" s="173">
        <v>0.45</v>
      </c>
    </row>
    <row r="30" spans="1:3">
      <c r="A30" s="153" t="s">
        <v>127</v>
      </c>
      <c r="B30" s="174">
        <v>0.33</v>
      </c>
      <c r="C30" s="174">
        <v>0.67</v>
      </c>
    </row>
    <row r="31" spans="1:3">
      <c r="A31" s="153" t="s">
        <v>128</v>
      </c>
      <c r="B31" s="175">
        <v>0.35</v>
      </c>
      <c r="C31" s="175">
        <v>0.65</v>
      </c>
    </row>
    <row r="32" spans="1:3" ht="15">
      <c r="A32" s="169" t="s">
        <v>129</v>
      </c>
      <c r="B32" s="176">
        <v>0.38</v>
      </c>
      <c r="C32" s="176">
        <v>0.62</v>
      </c>
    </row>
    <row r="33" spans="1:3">
      <c r="A33" s="226" t="s">
        <v>258</v>
      </c>
      <c r="B33" s="226"/>
      <c r="C33" s="226"/>
    </row>
    <row r="34" spans="1:3">
      <c r="A34" s="161" t="s">
        <v>130</v>
      </c>
    </row>
    <row r="35" spans="1:3">
      <c r="A35" s="221" t="s">
        <v>293</v>
      </c>
    </row>
    <row r="38" spans="1:3" ht="15">
      <c r="A38" s="160" t="s">
        <v>227</v>
      </c>
    </row>
    <row r="40" spans="1:3" ht="16.5">
      <c r="A40" s="227" t="s">
        <v>131</v>
      </c>
      <c r="B40" s="229" t="s">
        <v>285</v>
      </c>
      <c r="C40" s="229"/>
    </row>
    <row r="41" spans="1:3">
      <c r="A41" s="228"/>
      <c r="B41" s="172" t="s">
        <v>36</v>
      </c>
      <c r="C41" s="172" t="s">
        <v>35</v>
      </c>
    </row>
    <row r="42" spans="1:3">
      <c r="A42" s="158">
        <v>2021</v>
      </c>
      <c r="B42" s="173">
        <v>0.33</v>
      </c>
      <c r="C42" s="173">
        <v>0.67</v>
      </c>
    </row>
    <row r="43" spans="1:3">
      <c r="A43" s="158">
        <v>2022</v>
      </c>
      <c r="B43" s="174">
        <v>0.23</v>
      </c>
      <c r="C43" s="174">
        <v>0.77</v>
      </c>
    </row>
    <row r="44" spans="1:3" ht="15">
      <c r="A44" s="182">
        <v>2023</v>
      </c>
      <c r="B44" s="176">
        <v>0.38</v>
      </c>
      <c r="C44" s="176">
        <v>0.62</v>
      </c>
    </row>
    <row r="45" spans="1:3">
      <c r="A45" s="226" t="s">
        <v>258</v>
      </c>
      <c r="B45" s="226"/>
      <c r="C45" s="226"/>
    </row>
    <row r="46" spans="1:3">
      <c r="A46" s="221" t="s">
        <v>293</v>
      </c>
    </row>
  </sheetData>
  <mergeCells count="12">
    <mergeCell ref="A40:A41"/>
    <mergeCell ref="B40:C40"/>
    <mergeCell ref="A45:C45"/>
    <mergeCell ref="A33:C33"/>
    <mergeCell ref="A27:A28"/>
    <mergeCell ref="B27:C27"/>
    <mergeCell ref="A21:C21"/>
    <mergeCell ref="A3:A4"/>
    <mergeCell ref="B3:C3"/>
    <mergeCell ref="A16:A17"/>
    <mergeCell ref="B16:C16"/>
    <mergeCell ref="A9:C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C6BC1-7F93-4F12-8228-0B295675D713}">
  <sheetPr codeName="Sheet14"/>
  <dimension ref="A1:C46"/>
  <sheetViews>
    <sheetView topLeftCell="A12" zoomScaleNormal="100" workbookViewId="0">
      <selection activeCell="Q9" sqref="Q9"/>
    </sheetView>
  </sheetViews>
  <sheetFormatPr defaultColWidth="9.140625" defaultRowHeight="14.25"/>
  <cols>
    <col min="1" max="1" width="44.42578125" style="153" customWidth="1"/>
    <col min="2" max="3" width="21.42578125" style="153" customWidth="1"/>
    <col min="4" max="16384" width="9.140625" style="153"/>
  </cols>
  <sheetData>
    <row r="1" spans="1:3" ht="15">
      <c r="A1" s="160" t="s">
        <v>228</v>
      </c>
    </row>
    <row r="3" spans="1:3" ht="16.5">
      <c r="A3" s="227" t="s">
        <v>115</v>
      </c>
      <c r="B3" s="229" t="s">
        <v>285</v>
      </c>
      <c r="C3" s="229"/>
    </row>
    <row r="4" spans="1:3">
      <c r="A4" s="228"/>
      <c r="B4" s="172" t="s">
        <v>36</v>
      </c>
      <c r="C4" s="172" t="s">
        <v>35</v>
      </c>
    </row>
    <row r="5" spans="1:3">
      <c r="A5" s="156" t="s">
        <v>116</v>
      </c>
      <c r="B5" s="177" t="s">
        <v>291</v>
      </c>
      <c r="C5" s="177" t="s">
        <v>291</v>
      </c>
    </row>
    <row r="6" spans="1:3">
      <c r="A6" s="153" t="s">
        <v>117</v>
      </c>
      <c r="B6" s="174">
        <v>0.28000000000000003</v>
      </c>
      <c r="C6" s="174">
        <v>0.72</v>
      </c>
    </row>
    <row r="7" spans="1:3">
      <c r="A7" s="157" t="s">
        <v>118</v>
      </c>
      <c r="B7" s="179" t="s">
        <v>291</v>
      </c>
      <c r="C7" s="179" t="s">
        <v>291</v>
      </c>
    </row>
    <row r="8" spans="1:3" ht="15">
      <c r="A8" s="168" t="s">
        <v>119</v>
      </c>
      <c r="B8" s="176">
        <v>0.24</v>
      </c>
      <c r="C8" s="176">
        <v>0.76</v>
      </c>
    </row>
    <row r="9" spans="1:3" s="162" customFormat="1">
      <c r="A9" s="226" t="s">
        <v>258</v>
      </c>
      <c r="B9" s="226"/>
      <c r="C9" s="226"/>
    </row>
    <row r="10" spans="1:3" s="162" customFormat="1">
      <c r="A10" s="220" t="s">
        <v>295</v>
      </c>
      <c r="B10" s="219"/>
      <c r="C10" s="219"/>
    </row>
    <row r="11" spans="1:3">
      <c r="A11" s="221" t="s">
        <v>293</v>
      </c>
    </row>
    <row r="14" spans="1:3" ht="15">
      <c r="A14" s="160" t="s">
        <v>229</v>
      </c>
    </row>
    <row r="16" spans="1:3" ht="16.5">
      <c r="A16" s="227" t="s">
        <v>120</v>
      </c>
      <c r="B16" s="229" t="s">
        <v>285</v>
      </c>
      <c r="C16" s="229"/>
    </row>
    <row r="17" spans="1:3">
      <c r="A17" s="228"/>
      <c r="B17" s="172" t="s">
        <v>36</v>
      </c>
      <c r="C17" s="172" t="s">
        <v>35</v>
      </c>
    </row>
    <row r="18" spans="1:3">
      <c r="A18" s="156" t="s">
        <v>121</v>
      </c>
      <c r="B18" s="173">
        <v>0.18</v>
      </c>
      <c r="C18" s="173">
        <v>0.82</v>
      </c>
    </row>
    <row r="19" spans="1:3">
      <c r="A19" s="157" t="s">
        <v>122</v>
      </c>
      <c r="B19" s="175">
        <v>0.45</v>
      </c>
      <c r="C19" s="175">
        <v>0.55000000000000004</v>
      </c>
    </row>
    <row r="20" spans="1:3" ht="15">
      <c r="A20" s="168" t="s">
        <v>137</v>
      </c>
      <c r="B20" s="176">
        <v>0.24</v>
      </c>
      <c r="C20" s="176">
        <v>0.76</v>
      </c>
    </row>
    <row r="21" spans="1:3" s="162" customFormat="1">
      <c r="A21" s="226" t="s">
        <v>258</v>
      </c>
      <c r="B21" s="226"/>
      <c r="C21" s="226"/>
    </row>
    <row r="22" spans="1:3">
      <c r="A22" s="221" t="s">
        <v>293</v>
      </c>
    </row>
    <row r="23" spans="1:3">
      <c r="A23" s="158"/>
    </row>
    <row r="24" spans="1:3">
      <c r="A24" s="158"/>
    </row>
    <row r="25" spans="1:3" ht="15">
      <c r="A25" s="160" t="s">
        <v>230</v>
      </c>
    </row>
    <row r="27" spans="1:3" ht="16.5">
      <c r="A27" s="227" t="s">
        <v>125</v>
      </c>
      <c r="B27" s="229" t="s">
        <v>285</v>
      </c>
      <c r="C27" s="229"/>
    </row>
    <row r="28" spans="1:3">
      <c r="A28" s="228"/>
      <c r="B28" s="172" t="s">
        <v>36</v>
      </c>
      <c r="C28" s="172" t="s">
        <v>35</v>
      </c>
    </row>
    <row r="29" spans="1:3">
      <c r="A29" s="153" t="s">
        <v>126</v>
      </c>
      <c r="B29" s="177">
        <v>0.5</v>
      </c>
      <c r="C29" s="177">
        <v>0.5</v>
      </c>
    </row>
    <row r="30" spans="1:3">
      <c r="A30" s="153" t="s">
        <v>127</v>
      </c>
      <c r="B30" s="178">
        <v>0.26</v>
      </c>
      <c r="C30" s="178">
        <v>0.74</v>
      </c>
    </row>
    <row r="31" spans="1:3">
      <c r="A31" s="153" t="s">
        <v>128</v>
      </c>
      <c r="B31" s="179">
        <v>0.06</v>
      </c>
      <c r="C31" s="179">
        <v>0.94</v>
      </c>
    </row>
    <row r="32" spans="1:3" ht="15">
      <c r="A32" s="169" t="s">
        <v>129</v>
      </c>
      <c r="B32" s="180">
        <v>0.24</v>
      </c>
      <c r="C32" s="180">
        <v>0.76</v>
      </c>
    </row>
    <row r="33" spans="1:3" s="162" customFormat="1">
      <c r="A33" s="226" t="s">
        <v>258</v>
      </c>
      <c r="B33" s="226"/>
      <c r="C33" s="226"/>
    </row>
    <row r="34" spans="1:3" s="162" customFormat="1">
      <c r="A34" s="239" t="s">
        <v>130</v>
      </c>
      <c r="B34" s="239"/>
      <c r="C34" s="239"/>
    </row>
    <row r="35" spans="1:3">
      <c r="A35" s="221" t="s">
        <v>293</v>
      </c>
    </row>
    <row r="38" spans="1:3" ht="15">
      <c r="A38" s="160" t="s">
        <v>231</v>
      </c>
    </row>
    <row r="40" spans="1:3" ht="16.5">
      <c r="A40" s="227" t="s">
        <v>131</v>
      </c>
      <c r="B40" s="229" t="s">
        <v>285</v>
      </c>
      <c r="C40" s="229"/>
    </row>
    <row r="41" spans="1:3">
      <c r="A41" s="228"/>
      <c r="B41" s="172" t="s">
        <v>36</v>
      </c>
      <c r="C41" s="172" t="s">
        <v>35</v>
      </c>
    </row>
    <row r="42" spans="1:3">
      <c r="A42" s="158">
        <v>2021</v>
      </c>
      <c r="B42" s="173">
        <v>0.26</v>
      </c>
      <c r="C42" s="173">
        <v>0.74</v>
      </c>
    </row>
    <row r="43" spans="1:3">
      <c r="A43" s="158">
        <v>2022</v>
      </c>
      <c r="B43" s="174">
        <v>0.19</v>
      </c>
      <c r="C43" s="174">
        <v>0.81</v>
      </c>
    </row>
    <row r="44" spans="1:3" ht="15">
      <c r="A44" s="182">
        <v>2023</v>
      </c>
      <c r="B44" s="176">
        <v>0.24</v>
      </c>
      <c r="C44" s="176">
        <v>0.76</v>
      </c>
    </row>
    <row r="45" spans="1:3" s="162" customFormat="1">
      <c r="A45" s="226" t="s">
        <v>258</v>
      </c>
      <c r="B45" s="226"/>
      <c r="C45" s="226"/>
    </row>
    <row r="46" spans="1:3">
      <c r="A46" s="221" t="s">
        <v>293</v>
      </c>
    </row>
  </sheetData>
  <mergeCells count="13">
    <mergeCell ref="A40:A41"/>
    <mergeCell ref="B40:C40"/>
    <mergeCell ref="A45:C45"/>
    <mergeCell ref="A34:C34"/>
    <mergeCell ref="A33:C33"/>
    <mergeCell ref="A27:A28"/>
    <mergeCell ref="B27:C27"/>
    <mergeCell ref="A3:A4"/>
    <mergeCell ref="B3:C3"/>
    <mergeCell ref="A16:A17"/>
    <mergeCell ref="B16:C16"/>
    <mergeCell ref="A9:C9"/>
    <mergeCell ref="A21:C2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18513-F58B-429B-AA17-4B5BED0A0441}">
  <sheetPr codeName="Sheet15"/>
  <dimension ref="A1:C36"/>
  <sheetViews>
    <sheetView zoomScaleNormal="100" zoomScaleSheetLayoutView="100" workbookViewId="0">
      <selection activeCell="Q9" sqref="Q9"/>
    </sheetView>
  </sheetViews>
  <sheetFormatPr defaultColWidth="9.140625" defaultRowHeight="14.25"/>
  <cols>
    <col min="1" max="1" width="44.42578125" style="153" customWidth="1"/>
    <col min="2" max="3" width="21.42578125" style="153" customWidth="1"/>
    <col min="4" max="16384" width="9.140625" style="153"/>
  </cols>
  <sheetData>
    <row r="1" spans="1:3" ht="15">
      <c r="A1" s="160" t="s">
        <v>273</v>
      </c>
    </row>
    <row r="3" spans="1:3" ht="16.5">
      <c r="A3" s="227" t="s">
        <v>115</v>
      </c>
      <c r="B3" s="229" t="s">
        <v>285</v>
      </c>
      <c r="C3" s="229"/>
    </row>
    <row r="4" spans="1:3">
      <c r="A4" s="228"/>
      <c r="B4" s="172" t="s">
        <v>36</v>
      </c>
      <c r="C4" s="172" t="s">
        <v>35</v>
      </c>
    </row>
    <row r="5" spans="1:3">
      <c r="A5" s="156" t="s">
        <v>116</v>
      </c>
      <c r="B5" s="177" t="s">
        <v>291</v>
      </c>
      <c r="C5" s="177" t="s">
        <v>291</v>
      </c>
    </row>
    <row r="6" spans="1:3">
      <c r="A6" s="153" t="s">
        <v>117</v>
      </c>
      <c r="B6" s="178">
        <v>0.48</v>
      </c>
      <c r="C6" s="178">
        <v>0.52</v>
      </c>
    </row>
    <row r="7" spans="1:3">
      <c r="A7" s="157" t="s">
        <v>118</v>
      </c>
      <c r="B7" s="179" t="s">
        <v>291</v>
      </c>
      <c r="C7" s="179" t="s">
        <v>291</v>
      </c>
    </row>
    <row r="8" spans="1:3" ht="15">
      <c r="A8" s="168" t="s">
        <v>119</v>
      </c>
      <c r="B8" s="180">
        <v>0.44</v>
      </c>
      <c r="C8" s="180">
        <v>0.56000000000000005</v>
      </c>
    </row>
    <row r="9" spans="1:3">
      <c r="A9" s="226" t="s">
        <v>258</v>
      </c>
      <c r="B9" s="226"/>
      <c r="C9" s="226"/>
    </row>
    <row r="10" spans="1:3">
      <c r="A10" s="220" t="s">
        <v>290</v>
      </c>
      <c r="B10" s="219"/>
      <c r="C10" s="219"/>
    </row>
    <row r="11" spans="1:3">
      <c r="A11" s="221" t="s">
        <v>293</v>
      </c>
    </row>
    <row r="14" spans="1:3" ht="15">
      <c r="A14" s="160" t="s">
        <v>274</v>
      </c>
    </row>
    <row r="16" spans="1:3" ht="16.5">
      <c r="A16" s="227" t="s">
        <v>125</v>
      </c>
      <c r="B16" s="229" t="s">
        <v>285</v>
      </c>
      <c r="C16" s="229"/>
    </row>
    <row r="17" spans="1:3">
      <c r="A17" s="228"/>
      <c r="B17" s="172" t="s">
        <v>36</v>
      </c>
      <c r="C17" s="172" t="s">
        <v>35</v>
      </c>
    </row>
    <row r="18" spans="1:3">
      <c r="A18" s="153" t="s">
        <v>126</v>
      </c>
      <c r="B18" s="173" t="s">
        <v>291</v>
      </c>
      <c r="C18" s="173" t="s">
        <v>291</v>
      </c>
    </row>
    <row r="19" spans="1:3">
      <c r="A19" s="153" t="s">
        <v>127</v>
      </c>
      <c r="B19" s="174">
        <v>0.45</v>
      </c>
      <c r="C19" s="174">
        <v>0.55000000000000004</v>
      </c>
    </row>
    <row r="20" spans="1:3">
      <c r="A20" s="153" t="s">
        <v>128</v>
      </c>
      <c r="B20" s="179">
        <v>0.31</v>
      </c>
      <c r="C20" s="179">
        <v>0.69</v>
      </c>
    </row>
    <row r="21" spans="1:3" ht="15">
      <c r="A21" s="169" t="s">
        <v>129</v>
      </c>
      <c r="B21" s="176">
        <v>0.44</v>
      </c>
      <c r="C21" s="176">
        <v>0.56000000000000005</v>
      </c>
    </row>
    <row r="22" spans="1:3">
      <c r="A22" s="226" t="s">
        <v>258</v>
      </c>
      <c r="B22" s="226"/>
      <c r="C22" s="226"/>
    </row>
    <row r="23" spans="1:3">
      <c r="A23" s="220" t="s">
        <v>290</v>
      </c>
      <c r="B23" s="219"/>
      <c r="C23" s="219"/>
    </row>
    <row r="24" spans="1:3">
      <c r="A24" s="161" t="s">
        <v>130</v>
      </c>
    </row>
    <row r="25" spans="1:3">
      <c r="A25" s="221" t="s">
        <v>293</v>
      </c>
    </row>
    <row r="28" spans="1:3" ht="15">
      <c r="A28" s="160" t="s">
        <v>232</v>
      </c>
    </row>
    <row r="30" spans="1:3" ht="16.5">
      <c r="A30" s="227" t="s">
        <v>131</v>
      </c>
      <c r="B30" s="229" t="s">
        <v>285</v>
      </c>
      <c r="C30" s="229"/>
    </row>
    <row r="31" spans="1:3">
      <c r="A31" s="228"/>
      <c r="B31" s="172" t="s">
        <v>36</v>
      </c>
      <c r="C31" s="172" t="s">
        <v>35</v>
      </c>
    </row>
    <row r="32" spans="1:3">
      <c r="A32" s="158">
        <v>2021</v>
      </c>
      <c r="B32" s="173">
        <v>0.32</v>
      </c>
      <c r="C32" s="173">
        <v>0.68</v>
      </c>
    </row>
    <row r="33" spans="1:3">
      <c r="A33" s="158">
        <v>2022</v>
      </c>
      <c r="B33" s="174">
        <v>0.36</v>
      </c>
      <c r="C33" s="174">
        <v>0.64</v>
      </c>
    </row>
    <row r="34" spans="1:3" ht="15">
      <c r="A34" s="182">
        <v>2023</v>
      </c>
      <c r="B34" s="176">
        <v>0.44</v>
      </c>
      <c r="C34" s="176">
        <v>0.56000000000000005</v>
      </c>
    </row>
    <row r="35" spans="1:3">
      <c r="A35" s="226" t="s">
        <v>258</v>
      </c>
      <c r="B35" s="226"/>
      <c r="C35" s="226"/>
    </row>
    <row r="36" spans="1:3">
      <c r="A36" s="221" t="s">
        <v>293</v>
      </c>
    </row>
  </sheetData>
  <mergeCells count="9">
    <mergeCell ref="A30:A31"/>
    <mergeCell ref="B30:C30"/>
    <mergeCell ref="A35:C35"/>
    <mergeCell ref="A3:A4"/>
    <mergeCell ref="B3:C3"/>
    <mergeCell ref="A22:C22"/>
    <mergeCell ref="A9:C9"/>
    <mergeCell ref="A16:A17"/>
    <mergeCell ref="B16:C16"/>
  </mergeCells>
  <pageMargins left="0.7" right="0.7" top="0.75" bottom="0.75" header="0.3" footer="0.3"/>
  <pageSetup paperSize="9" scale="52"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84BC9-A304-4937-8B7B-254B06878B38}">
  <sheetPr codeName="Sheet17"/>
  <dimension ref="A1:C48"/>
  <sheetViews>
    <sheetView topLeftCell="A17" zoomScaleNormal="100" workbookViewId="0">
      <selection activeCell="Q9" sqref="Q9"/>
    </sheetView>
  </sheetViews>
  <sheetFormatPr defaultColWidth="9.140625" defaultRowHeight="14.25"/>
  <cols>
    <col min="1" max="1" width="44.42578125" style="153" customWidth="1"/>
    <col min="2" max="3" width="21.42578125" style="153" customWidth="1"/>
    <col min="4" max="16384" width="9.140625" style="153"/>
  </cols>
  <sheetData>
    <row r="1" spans="1:3" ht="45" customHeight="1">
      <c r="A1" s="241" t="s">
        <v>233</v>
      </c>
      <c r="B1" s="241"/>
      <c r="C1" s="241"/>
    </row>
    <row r="3" spans="1:3" ht="16.5">
      <c r="A3" s="227" t="s">
        <v>115</v>
      </c>
      <c r="B3" s="229" t="s">
        <v>285</v>
      </c>
      <c r="C3" s="229"/>
    </row>
    <row r="4" spans="1:3">
      <c r="A4" s="228"/>
      <c r="B4" s="172" t="s">
        <v>36</v>
      </c>
      <c r="C4" s="172" t="s">
        <v>35</v>
      </c>
    </row>
    <row r="5" spans="1:3">
      <c r="A5" s="156" t="s">
        <v>116</v>
      </c>
      <c r="B5" s="177">
        <v>0.73</v>
      </c>
      <c r="C5" s="177">
        <v>0.27</v>
      </c>
    </row>
    <row r="6" spans="1:3">
      <c r="A6" s="153" t="s">
        <v>117</v>
      </c>
      <c r="B6" s="174">
        <v>0.23</v>
      </c>
      <c r="C6" s="174">
        <v>0.77</v>
      </c>
    </row>
    <row r="7" spans="1:3">
      <c r="A7" s="157" t="s">
        <v>118</v>
      </c>
      <c r="B7" s="179" t="s">
        <v>291</v>
      </c>
      <c r="C7" s="179" t="s">
        <v>291</v>
      </c>
    </row>
    <row r="8" spans="1:3" ht="15">
      <c r="A8" s="168" t="s">
        <v>119</v>
      </c>
      <c r="B8" s="176">
        <v>0.28999999999999998</v>
      </c>
      <c r="C8" s="176">
        <v>0.71</v>
      </c>
    </row>
    <row r="9" spans="1:3">
      <c r="A9" s="226" t="s">
        <v>258</v>
      </c>
      <c r="B9" s="226"/>
      <c r="C9" s="226"/>
    </row>
    <row r="10" spans="1:3">
      <c r="A10" s="220" t="s">
        <v>290</v>
      </c>
      <c r="B10" s="219"/>
      <c r="C10" s="219"/>
    </row>
    <row r="11" spans="1:3">
      <c r="A11" s="221" t="s">
        <v>293</v>
      </c>
      <c r="B11" s="166"/>
      <c r="C11" s="166"/>
    </row>
    <row r="14" spans="1:3" ht="45" customHeight="1">
      <c r="A14" s="241" t="s">
        <v>234</v>
      </c>
      <c r="B14" s="241"/>
      <c r="C14" s="241"/>
    </row>
    <row r="16" spans="1:3" ht="16.5">
      <c r="A16" s="227" t="s">
        <v>120</v>
      </c>
      <c r="B16" s="229" t="s">
        <v>285</v>
      </c>
      <c r="C16" s="229"/>
    </row>
    <row r="17" spans="1:3">
      <c r="A17" s="228"/>
      <c r="B17" s="172" t="s">
        <v>36</v>
      </c>
      <c r="C17" s="172" t="s">
        <v>35</v>
      </c>
    </row>
    <row r="18" spans="1:3">
      <c r="A18" s="153" t="s">
        <v>121</v>
      </c>
      <c r="B18" s="173">
        <v>0.24</v>
      </c>
      <c r="C18" s="173">
        <v>0.76</v>
      </c>
    </row>
    <row r="19" spans="1:3">
      <c r="A19" s="153" t="s">
        <v>122</v>
      </c>
      <c r="B19" s="174">
        <v>0.38</v>
      </c>
      <c r="C19" s="174">
        <v>0.62</v>
      </c>
    </row>
    <row r="20" spans="1:3">
      <c r="A20" s="153" t="s">
        <v>123</v>
      </c>
      <c r="B20" s="179" t="s">
        <v>291</v>
      </c>
      <c r="C20" s="179" t="s">
        <v>291</v>
      </c>
    </row>
    <row r="21" spans="1:3" ht="15">
      <c r="A21" s="169" t="s">
        <v>124</v>
      </c>
      <c r="B21" s="176">
        <v>0.28999999999999998</v>
      </c>
      <c r="C21" s="176">
        <v>0.71</v>
      </c>
    </row>
    <row r="22" spans="1:3">
      <c r="A22" s="226" t="s">
        <v>258</v>
      </c>
      <c r="B22" s="226"/>
      <c r="C22" s="226"/>
    </row>
    <row r="23" spans="1:3">
      <c r="A23" s="220" t="s">
        <v>290</v>
      </c>
      <c r="B23" s="219"/>
      <c r="C23" s="219"/>
    </row>
    <row r="24" spans="1:3">
      <c r="A24" s="221" t="s">
        <v>293</v>
      </c>
      <c r="B24" s="166"/>
      <c r="C24" s="166"/>
    </row>
    <row r="25" spans="1:3">
      <c r="A25" s="161"/>
      <c r="B25" s="166"/>
      <c r="C25" s="166"/>
    </row>
    <row r="26" spans="1:3">
      <c r="A26" s="158"/>
    </row>
    <row r="27" spans="1:3" ht="45" customHeight="1">
      <c r="A27" s="241" t="s">
        <v>235</v>
      </c>
      <c r="B27" s="241"/>
      <c r="C27" s="241"/>
    </row>
    <row r="29" spans="1:3" ht="16.5">
      <c r="A29" s="227" t="s">
        <v>125</v>
      </c>
      <c r="B29" s="229" t="s">
        <v>285</v>
      </c>
      <c r="C29" s="229"/>
    </row>
    <row r="30" spans="1:3">
      <c r="A30" s="228"/>
      <c r="B30" s="172" t="s">
        <v>36</v>
      </c>
      <c r="C30" s="172" t="s">
        <v>35</v>
      </c>
    </row>
    <row r="31" spans="1:3">
      <c r="A31" s="153" t="s">
        <v>126</v>
      </c>
      <c r="B31" s="173">
        <v>0.2</v>
      </c>
      <c r="C31" s="173">
        <v>0.8</v>
      </c>
    </row>
    <row r="32" spans="1:3">
      <c r="A32" s="153" t="s">
        <v>127</v>
      </c>
      <c r="B32" s="178">
        <v>0.25</v>
      </c>
      <c r="C32" s="174">
        <v>0.75</v>
      </c>
    </row>
    <row r="33" spans="1:3">
      <c r="A33" s="153" t="s">
        <v>128</v>
      </c>
      <c r="B33" s="179">
        <v>0.34</v>
      </c>
      <c r="C33" s="175">
        <v>0.66</v>
      </c>
    </row>
    <row r="34" spans="1:3" ht="15">
      <c r="A34" s="169" t="s">
        <v>129</v>
      </c>
      <c r="B34" s="180">
        <v>0.28999999999999998</v>
      </c>
      <c r="C34" s="176">
        <v>0.71</v>
      </c>
    </row>
    <row r="35" spans="1:3">
      <c r="A35" s="226" t="s">
        <v>258</v>
      </c>
      <c r="B35" s="226"/>
      <c r="C35" s="226"/>
    </row>
    <row r="36" spans="1:3">
      <c r="A36" s="240" t="s">
        <v>130</v>
      </c>
      <c r="B36" s="240"/>
      <c r="C36" s="240"/>
    </row>
    <row r="37" spans="1:3">
      <c r="A37" s="221" t="s">
        <v>293</v>
      </c>
    </row>
    <row r="38" spans="1:3">
      <c r="A38" s="221"/>
    </row>
    <row r="40" spans="1:3" s="158" customFormat="1" ht="45" customHeight="1">
      <c r="A40" s="241" t="s">
        <v>236</v>
      </c>
      <c r="B40" s="241"/>
      <c r="C40" s="241"/>
    </row>
    <row r="42" spans="1:3" ht="16.5">
      <c r="A42" s="227" t="s">
        <v>131</v>
      </c>
      <c r="B42" s="229" t="s">
        <v>285</v>
      </c>
      <c r="C42" s="229"/>
    </row>
    <row r="43" spans="1:3">
      <c r="A43" s="228"/>
      <c r="B43" s="172" t="s">
        <v>36</v>
      </c>
      <c r="C43" s="172" t="s">
        <v>35</v>
      </c>
    </row>
    <row r="44" spans="1:3">
      <c r="A44" s="158">
        <v>2021</v>
      </c>
      <c r="B44" s="173">
        <v>0.26</v>
      </c>
      <c r="C44" s="173">
        <v>0.74</v>
      </c>
    </row>
    <row r="45" spans="1:3">
      <c r="A45" s="158">
        <v>2022</v>
      </c>
      <c r="B45" s="174">
        <v>0.19</v>
      </c>
      <c r="C45" s="174">
        <v>0.81</v>
      </c>
    </row>
    <row r="46" spans="1:3" ht="15">
      <c r="A46" s="182">
        <v>2023</v>
      </c>
      <c r="B46" s="176">
        <v>0.28999999999999998</v>
      </c>
      <c r="C46" s="176">
        <v>0.71</v>
      </c>
    </row>
    <row r="47" spans="1:3">
      <c r="A47" s="226" t="s">
        <v>258</v>
      </c>
      <c r="B47" s="226"/>
      <c r="C47" s="226"/>
    </row>
    <row r="48" spans="1:3">
      <c r="A48" s="221" t="s">
        <v>293</v>
      </c>
      <c r="B48" s="166"/>
      <c r="C48" s="166"/>
    </row>
  </sheetData>
  <mergeCells count="17">
    <mergeCell ref="A35:C35"/>
    <mergeCell ref="A1:C1"/>
    <mergeCell ref="A14:C14"/>
    <mergeCell ref="A27:C27"/>
    <mergeCell ref="A29:A30"/>
    <mergeCell ref="B29:C29"/>
    <mergeCell ref="A3:A4"/>
    <mergeCell ref="B3:C3"/>
    <mergeCell ref="A16:A17"/>
    <mergeCell ref="B16:C16"/>
    <mergeCell ref="A9:C9"/>
    <mergeCell ref="A22:C22"/>
    <mergeCell ref="A36:C36"/>
    <mergeCell ref="A40:C40"/>
    <mergeCell ref="A47:C47"/>
    <mergeCell ref="A42:A43"/>
    <mergeCell ref="B42:C4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19DE7-748B-4124-BD37-38117BB6F73D}">
  <sheetPr codeName="Sheet18"/>
  <dimension ref="A1:D50"/>
  <sheetViews>
    <sheetView topLeftCell="A28" zoomScaleNormal="100" workbookViewId="0">
      <selection activeCell="Q9" sqref="Q9"/>
    </sheetView>
  </sheetViews>
  <sheetFormatPr defaultColWidth="9.140625" defaultRowHeight="14.25"/>
  <cols>
    <col min="1" max="1" width="44.42578125" style="153" customWidth="1"/>
    <col min="2" max="4" width="17.42578125" style="153" customWidth="1"/>
    <col min="5" max="16384" width="9.140625" style="153"/>
  </cols>
  <sheetData>
    <row r="1" spans="1:4" ht="15">
      <c r="A1" s="160" t="s">
        <v>237</v>
      </c>
    </row>
    <row r="3" spans="1:4" ht="15" customHeight="1">
      <c r="A3" s="227" t="s">
        <v>115</v>
      </c>
      <c r="B3" s="233" t="s">
        <v>289</v>
      </c>
      <c r="C3" s="233"/>
      <c r="D3" s="233"/>
    </row>
    <row r="4" spans="1:4">
      <c r="A4" s="228"/>
      <c r="B4" s="172" t="s">
        <v>60</v>
      </c>
      <c r="C4" s="172" t="s">
        <v>49</v>
      </c>
      <c r="D4" s="172" t="s">
        <v>48</v>
      </c>
    </row>
    <row r="5" spans="1:4">
      <c r="A5" s="156" t="s">
        <v>116</v>
      </c>
      <c r="B5" s="177" t="s">
        <v>291</v>
      </c>
      <c r="C5" s="177" t="s">
        <v>291</v>
      </c>
      <c r="D5" s="177" t="s">
        <v>291</v>
      </c>
    </row>
    <row r="6" spans="1:4">
      <c r="A6" s="153" t="s">
        <v>117</v>
      </c>
      <c r="B6" s="174">
        <v>0.06</v>
      </c>
      <c r="C6" s="174">
        <v>0.12</v>
      </c>
      <c r="D6" s="174">
        <v>0.82</v>
      </c>
    </row>
    <row r="7" spans="1:4">
      <c r="A7" s="157" t="s">
        <v>118</v>
      </c>
      <c r="B7" s="179" t="s">
        <v>291</v>
      </c>
      <c r="C7" s="179" t="s">
        <v>291</v>
      </c>
      <c r="D7" s="179" t="s">
        <v>291</v>
      </c>
    </row>
    <row r="8" spans="1:4" ht="17.25">
      <c r="A8" s="168" t="s">
        <v>119</v>
      </c>
      <c r="B8" s="176" t="s">
        <v>275</v>
      </c>
      <c r="C8" s="176" t="s">
        <v>276</v>
      </c>
      <c r="D8" s="176" t="s">
        <v>277</v>
      </c>
    </row>
    <row r="9" spans="1:4" ht="27.95" customHeight="1">
      <c r="A9" s="232" t="s">
        <v>282</v>
      </c>
      <c r="B9" s="232"/>
      <c r="C9" s="232"/>
      <c r="D9" s="232"/>
    </row>
    <row r="10" spans="1:4">
      <c r="A10" s="238" t="s">
        <v>281</v>
      </c>
      <c r="B10" s="238"/>
      <c r="C10" s="238"/>
      <c r="D10" s="238"/>
    </row>
    <row r="11" spans="1:4">
      <c r="A11" s="220" t="s">
        <v>290</v>
      </c>
      <c r="B11" s="217"/>
      <c r="C11" s="217"/>
      <c r="D11" s="217"/>
    </row>
    <row r="12" spans="1:4">
      <c r="A12" s="221" t="s">
        <v>293</v>
      </c>
    </row>
    <row r="15" spans="1:4" ht="15">
      <c r="A15" s="160" t="s">
        <v>238</v>
      </c>
    </row>
    <row r="17" spans="1:4" ht="15" customHeight="1">
      <c r="A17" s="227" t="s">
        <v>120</v>
      </c>
      <c r="B17" s="233" t="s">
        <v>289</v>
      </c>
      <c r="C17" s="233"/>
      <c r="D17" s="233"/>
    </row>
    <row r="18" spans="1:4">
      <c r="A18" s="228"/>
      <c r="B18" s="172" t="s">
        <v>60</v>
      </c>
      <c r="C18" s="172" t="s">
        <v>49</v>
      </c>
      <c r="D18" s="172" t="s">
        <v>48</v>
      </c>
    </row>
    <row r="19" spans="1:4" ht="16.5">
      <c r="A19" s="156" t="s">
        <v>121</v>
      </c>
      <c r="B19" s="173" t="s">
        <v>278</v>
      </c>
      <c r="C19" s="173" t="s">
        <v>267</v>
      </c>
      <c r="D19" s="173" t="s">
        <v>279</v>
      </c>
    </row>
    <row r="20" spans="1:4">
      <c r="A20" s="157" t="s">
        <v>122</v>
      </c>
      <c r="B20" s="175">
        <v>0.18</v>
      </c>
      <c r="C20" s="175">
        <v>0.18</v>
      </c>
      <c r="D20" s="175">
        <v>0.64</v>
      </c>
    </row>
    <row r="21" spans="1:4" ht="17.25">
      <c r="A21" s="168" t="s">
        <v>137</v>
      </c>
      <c r="B21" s="176" t="s">
        <v>275</v>
      </c>
      <c r="C21" s="176" t="s">
        <v>276</v>
      </c>
      <c r="D21" s="176" t="s">
        <v>277</v>
      </c>
    </row>
    <row r="22" spans="1:4" ht="27.95" customHeight="1">
      <c r="A22" s="232" t="s">
        <v>282</v>
      </c>
      <c r="B22" s="232"/>
      <c r="C22" s="232"/>
      <c r="D22" s="232"/>
    </row>
    <row r="23" spans="1:4">
      <c r="A23" s="238" t="s">
        <v>281</v>
      </c>
      <c r="B23" s="238"/>
      <c r="C23" s="238"/>
      <c r="D23" s="238"/>
    </row>
    <row r="24" spans="1:4">
      <c r="A24" s="221" t="s">
        <v>293</v>
      </c>
    </row>
    <row r="25" spans="1:4">
      <c r="A25" s="158"/>
    </row>
    <row r="26" spans="1:4">
      <c r="A26" s="158"/>
    </row>
    <row r="27" spans="1:4" ht="15">
      <c r="A27" s="160" t="s">
        <v>239</v>
      </c>
    </row>
    <row r="29" spans="1:4" ht="15" customHeight="1">
      <c r="A29" s="227" t="s">
        <v>125</v>
      </c>
      <c r="B29" s="233" t="s">
        <v>289</v>
      </c>
      <c r="C29" s="233"/>
      <c r="D29" s="233"/>
    </row>
    <row r="30" spans="1:4">
      <c r="A30" s="228"/>
      <c r="B30" s="172" t="s">
        <v>60</v>
      </c>
      <c r="C30" s="172" t="s">
        <v>49</v>
      </c>
      <c r="D30" s="172" t="s">
        <v>48</v>
      </c>
    </row>
    <row r="31" spans="1:4">
      <c r="A31" s="153" t="s">
        <v>126</v>
      </c>
      <c r="B31" s="173">
        <v>0.09</v>
      </c>
      <c r="C31" s="173">
        <v>0.09</v>
      </c>
      <c r="D31" s="173">
        <v>0.82</v>
      </c>
    </row>
    <row r="32" spans="1:4" ht="16.5">
      <c r="A32" s="153" t="s">
        <v>127</v>
      </c>
      <c r="B32" s="178" t="s">
        <v>264</v>
      </c>
      <c r="C32" s="174" t="s">
        <v>280</v>
      </c>
      <c r="D32" s="174" t="s">
        <v>269</v>
      </c>
    </row>
    <row r="33" spans="1:4">
      <c r="A33" s="153" t="s">
        <v>128</v>
      </c>
      <c r="B33" s="179">
        <v>0</v>
      </c>
      <c r="C33" s="175">
        <v>0.06</v>
      </c>
      <c r="D33" s="175">
        <v>0.94</v>
      </c>
    </row>
    <row r="34" spans="1:4" ht="17.25">
      <c r="A34" s="169" t="s">
        <v>129</v>
      </c>
      <c r="B34" s="176" t="s">
        <v>275</v>
      </c>
      <c r="C34" s="176" t="s">
        <v>276</v>
      </c>
      <c r="D34" s="176" t="s">
        <v>277</v>
      </c>
    </row>
    <row r="35" spans="1:4" ht="27.95" customHeight="1">
      <c r="A35" s="232" t="s">
        <v>282</v>
      </c>
      <c r="B35" s="232"/>
      <c r="C35" s="232"/>
      <c r="D35" s="232"/>
    </row>
    <row r="36" spans="1:4">
      <c r="A36" s="238" t="s">
        <v>281</v>
      </c>
      <c r="B36" s="238"/>
      <c r="C36" s="238"/>
      <c r="D36" s="238"/>
    </row>
    <row r="37" spans="1:4">
      <c r="A37" s="161" t="s">
        <v>130</v>
      </c>
    </row>
    <row r="38" spans="1:4">
      <c r="A38" s="221" t="s">
        <v>293</v>
      </c>
    </row>
    <row r="41" spans="1:4" ht="15">
      <c r="A41" s="160" t="s">
        <v>240</v>
      </c>
    </row>
    <row r="43" spans="1:4">
      <c r="A43" s="227" t="s">
        <v>131</v>
      </c>
      <c r="B43" s="233" t="s">
        <v>289</v>
      </c>
      <c r="C43" s="233"/>
      <c r="D43" s="233"/>
    </row>
    <row r="44" spans="1:4">
      <c r="A44" s="228"/>
      <c r="B44" s="172" t="s">
        <v>60</v>
      </c>
      <c r="C44" s="172" t="s">
        <v>49</v>
      </c>
      <c r="D44" s="172" t="s">
        <v>48</v>
      </c>
    </row>
    <row r="45" spans="1:4">
      <c r="A45" s="158">
        <v>2021</v>
      </c>
      <c r="B45" s="212">
        <v>0.1</v>
      </c>
      <c r="C45" s="173">
        <v>0.08</v>
      </c>
      <c r="D45" s="173">
        <v>0.82</v>
      </c>
    </row>
    <row r="46" spans="1:4">
      <c r="A46" s="158">
        <v>2022</v>
      </c>
      <c r="B46" s="213">
        <v>0</v>
      </c>
      <c r="C46" s="174">
        <v>0.09</v>
      </c>
      <c r="D46" s="174">
        <v>0.91</v>
      </c>
    </row>
    <row r="47" spans="1:4" ht="17.25">
      <c r="A47" s="218">
        <v>2023</v>
      </c>
      <c r="B47" s="176" t="s">
        <v>275</v>
      </c>
      <c r="C47" s="176" t="s">
        <v>276</v>
      </c>
      <c r="D47" s="176" t="s">
        <v>277</v>
      </c>
    </row>
    <row r="48" spans="1:4" ht="27.95" customHeight="1">
      <c r="A48" s="232" t="s">
        <v>282</v>
      </c>
      <c r="B48" s="232"/>
      <c r="C48" s="232"/>
      <c r="D48" s="232"/>
    </row>
    <row r="49" spans="1:4">
      <c r="A49" s="238" t="s">
        <v>281</v>
      </c>
      <c r="B49" s="238"/>
      <c r="C49" s="238"/>
      <c r="D49" s="238"/>
    </row>
    <row r="50" spans="1:4">
      <c r="A50" s="221" t="s">
        <v>293</v>
      </c>
    </row>
  </sheetData>
  <mergeCells count="16">
    <mergeCell ref="A3:A4"/>
    <mergeCell ref="B3:D3"/>
    <mergeCell ref="A17:A18"/>
    <mergeCell ref="B17:D17"/>
    <mergeCell ref="A10:D10"/>
    <mergeCell ref="A49:D49"/>
    <mergeCell ref="A9:D9"/>
    <mergeCell ref="A22:D22"/>
    <mergeCell ref="A35:D35"/>
    <mergeCell ref="A48:D48"/>
    <mergeCell ref="A43:A44"/>
    <mergeCell ref="B43:D43"/>
    <mergeCell ref="A29:A30"/>
    <mergeCell ref="B29:D29"/>
    <mergeCell ref="A23:D23"/>
    <mergeCell ref="A36:D3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98DB9-1796-4464-9B81-74B43A31076E}">
  <sheetPr codeName="Sheet2"/>
  <dimension ref="A1:B28"/>
  <sheetViews>
    <sheetView workbookViewId="0"/>
  </sheetViews>
  <sheetFormatPr defaultRowHeight="15"/>
  <cols>
    <col min="1" max="1" width="7.5703125" style="89" customWidth="1"/>
    <col min="2" max="2" width="146.5703125" customWidth="1"/>
  </cols>
  <sheetData>
    <row r="1" spans="1:2">
      <c r="A1" s="148" t="s">
        <v>69</v>
      </c>
      <c r="B1" s="148" t="s">
        <v>70</v>
      </c>
    </row>
    <row r="2" spans="1:2">
      <c r="A2" s="149" t="s">
        <v>71</v>
      </c>
      <c r="B2" s="150"/>
    </row>
    <row r="3" spans="1:2">
      <c r="A3" s="151">
        <v>3.1</v>
      </c>
      <c r="B3" s="150" t="s">
        <v>72</v>
      </c>
    </row>
    <row r="4" spans="1:2">
      <c r="A4" s="149" t="s">
        <v>73</v>
      </c>
    </row>
    <row r="5" spans="1:2">
      <c r="A5" s="167" t="s">
        <v>74</v>
      </c>
      <c r="B5" s="150" t="s">
        <v>75</v>
      </c>
    </row>
    <row r="6" spans="1:2">
      <c r="A6" s="167" t="s">
        <v>76</v>
      </c>
      <c r="B6" s="150" t="s">
        <v>77</v>
      </c>
    </row>
    <row r="7" spans="1:2">
      <c r="A7" s="149" t="s">
        <v>78</v>
      </c>
      <c r="B7" s="150"/>
    </row>
    <row r="8" spans="1:2">
      <c r="A8" s="167" t="s">
        <v>79</v>
      </c>
      <c r="B8" s="150" t="s">
        <v>80</v>
      </c>
    </row>
    <row r="9" spans="1:2">
      <c r="A9" s="167" t="s">
        <v>81</v>
      </c>
      <c r="B9" s="150" t="s">
        <v>82</v>
      </c>
    </row>
    <row r="10" spans="1:2">
      <c r="A10" s="149" t="s">
        <v>83</v>
      </c>
    </row>
    <row r="11" spans="1:2">
      <c r="A11" s="167" t="s">
        <v>84</v>
      </c>
      <c r="B11" s="150" t="s">
        <v>85</v>
      </c>
    </row>
    <row r="12" spans="1:2">
      <c r="A12" s="167" t="s">
        <v>86</v>
      </c>
      <c r="B12" s="150" t="s">
        <v>87</v>
      </c>
    </row>
    <row r="13" spans="1:2">
      <c r="A13" s="167" t="s">
        <v>88</v>
      </c>
      <c r="B13" s="150" t="s">
        <v>89</v>
      </c>
    </row>
    <row r="14" spans="1:2">
      <c r="A14" s="167" t="s">
        <v>90</v>
      </c>
      <c r="B14" s="150" t="s">
        <v>91</v>
      </c>
    </row>
    <row r="15" spans="1:2">
      <c r="A15" s="149" t="s">
        <v>92</v>
      </c>
    </row>
    <row r="16" spans="1:2">
      <c r="A16" s="167" t="s">
        <v>93</v>
      </c>
      <c r="B16" s="150" t="s">
        <v>94</v>
      </c>
    </row>
    <row r="17" spans="1:2">
      <c r="A17" s="167" t="s">
        <v>95</v>
      </c>
      <c r="B17" s="150" t="s">
        <v>96</v>
      </c>
    </row>
    <row r="18" spans="1:2">
      <c r="A18" s="167" t="s">
        <v>97</v>
      </c>
      <c r="B18" s="150" t="s">
        <v>98</v>
      </c>
    </row>
    <row r="19" spans="1:2">
      <c r="A19" s="167" t="s">
        <v>99</v>
      </c>
      <c r="B19" s="150" t="s">
        <v>100</v>
      </c>
    </row>
    <row r="20" spans="1:2">
      <c r="A20" s="167" t="s">
        <v>101</v>
      </c>
      <c r="B20" s="150" t="s">
        <v>102</v>
      </c>
    </row>
    <row r="21" spans="1:2">
      <c r="A21" s="167" t="s">
        <v>103</v>
      </c>
      <c r="B21" s="150" t="s">
        <v>104</v>
      </c>
    </row>
    <row r="22" spans="1:2">
      <c r="A22" s="201">
        <v>3.16</v>
      </c>
      <c r="B22" s="222" t="s">
        <v>292</v>
      </c>
    </row>
    <row r="23" spans="1:2">
      <c r="A23" s="167" t="s">
        <v>105</v>
      </c>
      <c r="B23" s="150" t="s">
        <v>106</v>
      </c>
    </row>
    <row r="24" spans="1:2">
      <c r="A24" s="149" t="s">
        <v>107</v>
      </c>
    </row>
    <row r="25" spans="1:2">
      <c r="A25" s="167" t="s">
        <v>108</v>
      </c>
      <c r="B25" s="150" t="s">
        <v>109</v>
      </c>
    </row>
    <row r="26" spans="1:2">
      <c r="A26" s="167" t="s">
        <v>110</v>
      </c>
      <c r="B26" s="150" t="s">
        <v>111</v>
      </c>
    </row>
    <row r="27" spans="1:2">
      <c r="A27" s="149" t="s">
        <v>112</v>
      </c>
    </row>
    <row r="28" spans="1:2">
      <c r="A28" s="167" t="s">
        <v>113</v>
      </c>
      <c r="B28" s="150" t="s">
        <v>114</v>
      </c>
    </row>
  </sheetData>
  <hyperlinks>
    <hyperlink ref="A3" location="'3.1'!A1" display="'3.1'!A1" xr:uid="{75BF2FC3-475D-4B31-927A-EAD2C023E7DB}"/>
    <hyperlink ref="A5" location="'3.2'!A1" display="3.2" xr:uid="{EBC14DD7-6D97-415C-BB9E-2F176A05CD5D}"/>
    <hyperlink ref="A6" location="'3.3'!A1" display="3.3" xr:uid="{DB800C6E-A550-46BD-B847-CBD265B59A62}"/>
    <hyperlink ref="A8" location="'3.4'!A1" display="3.4" xr:uid="{320E1C30-FACC-4E99-A1A1-BB1C66D5AC64}"/>
    <hyperlink ref="A9" location="'3.5'!A1" display="3.5" xr:uid="{F3DE913E-E0CB-43D9-9555-7DE31833A424}"/>
    <hyperlink ref="A11" location="'3.6'!A1" display="3.6" xr:uid="{48434F5E-5B27-4E91-9206-04651BAEC802}"/>
    <hyperlink ref="A12" location="'3.7'!A1" display="3.7" xr:uid="{B0FEDF41-4625-4A7C-9C92-EE9C4449E3F4}"/>
    <hyperlink ref="A13" location="'3.8'!A1" display="3.8" xr:uid="{84781104-431C-40AE-807D-72E05901DB71}"/>
    <hyperlink ref="A14" location="'3.9'!A1" display="3.9" xr:uid="{E4CF343D-90EC-4D1A-A0F5-58027B6CF1EB}"/>
    <hyperlink ref="A16" location="'3.10'!A1" display="3.10" xr:uid="{44C391A7-9BDA-486A-B0EF-DC466281385F}"/>
    <hyperlink ref="A17" location="'3.11'!A1" display="3.11" xr:uid="{566F8F07-69F9-4197-95D0-DFAF3DAA52A9}"/>
    <hyperlink ref="A18" location="'3.12'!A1" display="3.12" xr:uid="{8AC96D2F-8385-475F-90CA-143CDE20C9B6}"/>
    <hyperlink ref="A19" location="'3.13'!A1" display="3.13" xr:uid="{442D94E3-9FC7-451A-953F-63A4A451B788}"/>
    <hyperlink ref="A20" location="'3.14'!A1" display="3.14" xr:uid="{393A8672-757F-4754-8C42-40F5D665D0C2}"/>
    <hyperlink ref="A21" location="'3.15'!A1" display="3.15" xr:uid="{DF6FC436-D336-4897-8CC2-CBA41BE1FACB}"/>
    <hyperlink ref="A23" location="'3.17'!A1" display="3.17" xr:uid="{D05B9C53-ABB7-4FE3-91F6-05A9B79738EF}"/>
    <hyperlink ref="A25" location="'3.18'!A1" display="3.18" xr:uid="{7EC1F21F-6894-4886-85F5-2A128ACBFE00}"/>
    <hyperlink ref="A26" location="'3.19'!A1" display="3.19" xr:uid="{5B58C5AA-80F0-4A60-A071-B6F096829364}"/>
    <hyperlink ref="A28" location="'3.20'!A1" display="3.20" xr:uid="{D54356B2-01FF-4BE6-A5E2-857EE763A21E}"/>
  </hyperlinks>
  <pageMargins left="0.7" right="0.7" top="0.75" bottom="0.75" header="0.3" footer="0.3"/>
  <pageSetup paperSize="9" orientation="portrait" r:id="rId1"/>
  <ignoredErrors>
    <ignoredError sqref="A5:A6 A11:A13 A8:A9 A14:A21 A23:A28"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66DAD-E936-41E4-8BEB-0E1049A14FE2}">
  <sheetPr codeName="Sheet19"/>
  <dimension ref="A1:C48"/>
  <sheetViews>
    <sheetView topLeftCell="A24" zoomScaleNormal="100" workbookViewId="0">
      <selection activeCell="Q9" sqref="Q9"/>
    </sheetView>
  </sheetViews>
  <sheetFormatPr defaultColWidth="9.140625" defaultRowHeight="14.25"/>
  <cols>
    <col min="1" max="1" width="44.42578125" style="153" customWidth="1"/>
    <col min="2" max="3" width="21.42578125" style="153" customWidth="1"/>
    <col min="4" max="16384" width="9.140625" style="153"/>
  </cols>
  <sheetData>
    <row r="1" spans="1:3" ht="15">
      <c r="A1" s="160" t="s">
        <v>241</v>
      </c>
    </row>
    <row r="3" spans="1:3" ht="16.5">
      <c r="A3" s="227" t="s">
        <v>115</v>
      </c>
      <c r="B3" s="229" t="s">
        <v>285</v>
      </c>
      <c r="C3" s="229"/>
    </row>
    <row r="4" spans="1:3">
      <c r="A4" s="228"/>
      <c r="B4" s="172" t="s">
        <v>36</v>
      </c>
      <c r="C4" s="172" t="s">
        <v>35</v>
      </c>
    </row>
    <row r="5" spans="1:3">
      <c r="A5" s="156" t="s">
        <v>116</v>
      </c>
      <c r="B5" s="178" t="s">
        <v>291</v>
      </c>
      <c r="C5" s="178" t="s">
        <v>291</v>
      </c>
    </row>
    <row r="6" spans="1:3">
      <c r="A6" s="153" t="s">
        <v>117</v>
      </c>
      <c r="B6" s="174">
        <v>0.08</v>
      </c>
      <c r="C6" s="174">
        <v>0.92</v>
      </c>
    </row>
    <row r="7" spans="1:3">
      <c r="A7" s="157" t="s">
        <v>118</v>
      </c>
      <c r="B7" s="179" t="s">
        <v>291</v>
      </c>
      <c r="C7" s="179" t="s">
        <v>291</v>
      </c>
    </row>
    <row r="8" spans="1:3" ht="15">
      <c r="A8" s="168" t="s">
        <v>119</v>
      </c>
      <c r="B8" s="176">
        <v>0.1</v>
      </c>
      <c r="C8" s="176">
        <v>0.9</v>
      </c>
    </row>
    <row r="9" spans="1:3">
      <c r="A9" s="226" t="s">
        <v>258</v>
      </c>
      <c r="B9" s="226"/>
      <c r="C9" s="226"/>
    </row>
    <row r="10" spans="1:3">
      <c r="A10" s="220" t="s">
        <v>290</v>
      </c>
      <c r="B10" s="219"/>
      <c r="C10" s="219"/>
    </row>
    <row r="11" spans="1:3">
      <c r="A11" s="221" t="s">
        <v>293</v>
      </c>
      <c r="B11" s="161"/>
      <c r="C11" s="161"/>
    </row>
    <row r="14" spans="1:3" ht="15">
      <c r="A14" s="160" t="s">
        <v>242</v>
      </c>
    </row>
    <row r="16" spans="1:3" ht="16.5">
      <c r="A16" s="227" t="s">
        <v>120</v>
      </c>
      <c r="B16" s="229" t="s">
        <v>285</v>
      </c>
      <c r="C16" s="229"/>
    </row>
    <row r="17" spans="1:3">
      <c r="A17" s="228"/>
      <c r="B17" s="172" t="s">
        <v>36</v>
      </c>
      <c r="C17" s="172" t="s">
        <v>35</v>
      </c>
    </row>
    <row r="18" spans="1:3">
      <c r="A18" s="156" t="s">
        <v>121</v>
      </c>
      <c r="B18" s="173">
        <v>0.06</v>
      </c>
      <c r="C18" s="173">
        <v>0.94</v>
      </c>
    </row>
    <row r="19" spans="1:3">
      <c r="A19" s="157" t="s">
        <v>122</v>
      </c>
      <c r="B19" s="179" t="s">
        <v>291</v>
      </c>
      <c r="C19" s="179" t="s">
        <v>291</v>
      </c>
    </row>
    <row r="20" spans="1:3" ht="15">
      <c r="A20" s="168" t="s">
        <v>137</v>
      </c>
      <c r="B20" s="176">
        <v>0.1</v>
      </c>
      <c r="C20" s="176">
        <v>0.9</v>
      </c>
    </row>
    <row r="21" spans="1:3">
      <c r="A21" s="226" t="s">
        <v>258</v>
      </c>
      <c r="B21" s="226"/>
      <c r="C21" s="226"/>
    </row>
    <row r="22" spans="1:3">
      <c r="A22" s="220" t="s">
        <v>290</v>
      </c>
      <c r="B22" s="219"/>
      <c r="C22" s="219"/>
    </row>
    <row r="23" spans="1:3">
      <c r="A23" s="221" t="s">
        <v>293</v>
      </c>
    </row>
    <row r="24" spans="1:3">
      <c r="A24" s="158"/>
    </row>
    <row r="25" spans="1:3">
      <c r="A25" s="158"/>
    </row>
    <row r="26" spans="1:3" ht="15">
      <c r="A26" s="160" t="s">
        <v>243</v>
      </c>
    </row>
    <row r="28" spans="1:3" ht="16.5">
      <c r="A28" s="227" t="s">
        <v>125</v>
      </c>
      <c r="B28" s="229" t="s">
        <v>285</v>
      </c>
      <c r="C28" s="229"/>
    </row>
    <row r="29" spans="1:3">
      <c r="A29" s="228"/>
      <c r="B29" s="172" t="s">
        <v>36</v>
      </c>
      <c r="C29" s="172" t="s">
        <v>35</v>
      </c>
    </row>
    <row r="30" spans="1:3">
      <c r="A30" s="153" t="s">
        <v>126</v>
      </c>
      <c r="B30" s="173" t="s">
        <v>291</v>
      </c>
      <c r="C30" s="173" t="s">
        <v>291</v>
      </c>
    </row>
    <row r="31" spans="1:3">
      <c r="A31" s="153" t="s">
        <v>127</v>
      </c>
      <c r="B31" s="178">
        <v>0</v>
      </c>
      <c r="C31" s="174">
        <v>1</v>
      </c>
    </row>
    <row r="32" spans="1:3">
      <c r="A32" s="153" t="s">
        <v>128</v>
      </c>
      <c r="B32" s="179">
        <v>0.21</v>
      </c>
      <c r="C32" s="175">
        <v>0.79</v>
      </c>
    </row>
    <row r="33" spans="1:3" ht="15">
      <c r="A33" s="169" t="s">
        <v>129</v>
      </c>
      <c r="B33" s="180">
        <v>0.13</v>
      </c>
      <c r="C33" s="176">
        <v>0.88</v>
      </c>
    </row>
    <row r="34" spans="1:3">
      <c r="A34" s="226" t="s">
        <v>258</v>
      </c>
      <c r="B34" s="226"/>
      <c r="C34" s="226"/>
    </row>
    <row r="35" spans="1:3">
      <c r="A35" s="220" t="s">
        <v>290</v>
      </c>
      <c r="B35" s="219"/>
      <c r="C35" s="219"/>
    </row>
    <row r="36" spans="1:3">
      <c r="A36" s="240" t="s">
        <v>130</v>
      </c>
      <c r="B36" s="240"/>
      <c r="C36" s="240"/>
    </row>
    <row r="37" spans="1:3">
      <c r="A37" s="221" t="s">
        <v>293</v>
      </c>
    </row>
    <row r="40" spans="1:3" ht="15">
      <c r="A40" s="160" t="s">
        <v>244</v>
      </c>
    </row>
    <row r="42" spans="1:3" ht="16.5">
      <c r="A42" s="227" t="s">
        <v>131</v>
      </c>
      <c r="B42" s="229" t="s">
        <v>285</v>
      </c>
      <c r="C42" s="229"/>
    </row>
    <row r="43" spans="1:3">
      <c r="A43" s="228"/>
      <c r="B43" s="172" t="s">
        <v>36</v>
      </c>
      <c r="C43" s="172" t="s">
        <v>35</v>
      </c>
    </row>
    <row r="44" spans="1:3">
      <c r="A44" s="158">
        <v>2021</v>
      </c>
      <c r="B44" s="173">
        <v>0.04</v>
      </c>
      <c r="C44" s="173">
        <v>0.96</v>
      </c>
    </row>
    <row r="45" spans="1:3">
      <c r="A45" s="158">
        <v>2022</v>
      </c>
      <c r="B45" s="174">
        <v>0.02</v>
      </c>
      <c r="C45" s="174">
        <v>0.98</v>
      </c>
    </row>
    <row r="46" spans="1:3" ht="15">
      <c r="A46" s="182">
        <v>2023</v>
      </c>
      <c r="B46" s="176">
        <v>0.1</v>
      </c>
      <c r="C46" s="176">
        <v>0.9</v>
      </c>
    </row>
    <row r="47" spans="1:3">
      <c r="A47" s="226" t="s">
        <v>258</v>
      </c>
      <c r="B47" s="226"/>
      <c r="C47" s="226"/>
    </row>
    <row r="48" spans="1:3">
      <c r="A48" s="221" t="s">
        <v>293</v>
      </c>
    </row>
  </sheetData>
  <mergeCells count="13">
    <mergeCell ref="A21:C21"/>
    <mergeCell ref="A34:C34"/>
    <mergeCell ref="A3:A4"/>
    <mergeCell ref="B3:C3"/>
    <mergeCell ref="A16:A17"/>
    <mergeCell ref="B16:C16"/>
    <mergeCell ref="A9:C9"/>
    <mergeCell ref="A47:C47"/>
    <mergeCell ref="A36:C36"/>
    <mergeCell ref="A42:A43"/>
    <mergeCell ref="B42:C42"/>
    <mergeCell ref="A28:A29"/>
    <mergeCell ref="B28:C28"/>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DF884-D5FE-4C26-B2A5-18A06E97E77E}">
  <sheetPr codeName="Sheet20"/>
  <dimension ref="A1:C46"/>
  <sheetViews>
    <sheetView zoomScaleNormal="100" workbookViewId="0">
      <selection activeCell="Q9" sqref="Q9"/>
    </sheetView>
  </sheetViews>
  <sheetFormatPr defaultColWidth="9.140625" defaultRowHeight="14.25"/>
  <cols>
    <col min="1" max="1" width="44.42578125" style="153" customWidth="1"/>
    <col min="2" max="3" width="21.42578125" style="153" customWidth="1"/>
    <col min="4" max="16384" width="9.140625" style="153"/>
  </cols>
  <sheetData>
    <row r="1" spans="1:3" ht="15">
      <c r="A1" s="160" t="s">
        <v>245</v>
      </c>
    </row>
    <row r="3" spans="1:3" ht="16.5">
      <c r="A3" s="227" t="s">
        <v>115</v>
      </c>
      <c r="B3" s="229" t="s">
        <v>285</v>
      </c>
      <c r="C3" s="229"/>
    </row>
    <row r="4" spans="1:3">
      <c r="A4" s="228"/>
      <c r="B4" s="172" t="s">
        <v>36</v>
      </c>
      <c r="C4" s="172" t="s">
        <v>35</v>
      </c>
    </row>
    <row r="5" spans="1:3">
      <c r="A5" s="156" t="s">
        <v>116</v>
      </c>
      <c r="B5" s="177">
        <v>0.55555555555555558</v>
      </c>
      <c r="C5" s="177">
        <v>0.44444444444444442</v>
      </c>
    </row>
    <row r="6" spans="1:3">
      <c r="A6" s="153" t="s">
        <v>117</v>
      </c>
      <c r="B6" s="174">
        <v>0.94594594594594594</v>
      </c>
      <c r="C6" s="174">
        <v>5.4054054054054057E-2</v>
      </c>
    </row>
    <row r="7" spans="1:3">
      <c r="A7" s="157" t="s">
        <v>118</v>
      </c>
      <c r="B7" s="179" t="s">
        <v>291</v>
      </c>
      <c r="C7" s="179" t="s">
        <v>291</v>
      </c>
    </row>
    <row r="8" spans="1:3" ht="15">
      <c r="A8" s="168" t="s">
        <v>119</v>
      </c>
      <c r="B8" s="176">
        <v>0.87037037037037035</v>
      </c>
      <c r="C8" s="176">
        <v>0.12962962962962962</v>
      </c>
    </row>
    <row r="9" spans="1:3" s="162" customFormat="1">
      <c r="A9" s="226" t="s">
        <v>258</v>
      </c>
      <c r="B9" s="226"/>
      <c r="C9" s="226"/>
    </row>
    <row r="10" spans="1:3" s="162" customFormat="1">
      <c r="A10" s="220" t="s">
        <v>290</v>
      </c>
      <c r="B10" s="219"/>
      <c r="C10" s="219"/>
    </row>
    <row r="11" spans="1:3">
      <c r="A11" s="221" t="s">
        <v>293</v>
      </c>
    </row>
    <row r="14" spans="1:3" ht="15">
      <c r="A14" s="160" t="s">
        <v>246</v>
      </c>
    </row>
    <row r="16" spans="1:3" ht="16.5">
      <c r="A16" s="227" t="s">
        <v>120</v>
      </c>
      <c r="B16" s="229" t="s">
        <v>285</v>
      </c>
      <c r="C16" s="229"/>
    </row>
    <row r="17" spans="1:3">
      <c r="A17" s="228"/>
      <c r="B17" s="172" t="s">
        <v>36</v>
      </c>
      <c r="C17" s="172" t="s">
        <v>35</v>
      </c>
    </row>
    <row r="18" spans="1:3">
      <c r="A18" s="156" t="s">
        <v>121</v>
      </c>
      <c r="B18" s="173">
        <v>0.89743589743589747</v>
      </c>
      <c r="C18" s="173">
        <v>0.10256410256410256</v>
      </c>
    </row>
    <row r="19" spans="1:3">
      <c r="A19" s="157" t="s">
        <v>122</v>
      </c>
      <c r="B19" s="175">
        <v>0.8</v>
      </c>
      <c r="C19" s="175">
        <v>0.2</v>
      </c>
    </row>
    <row r="20" spans="1:3" ht="15">
      <c r="A20" s="168" t="s">
        <v>137</v>
      </c>
      <c r="B20" s="176">
        <v>0.87037037037037035</v>
      </c>
      <c r="C20" s="176">
        <v>0.12962962962962962</v>
      </c>
    </row>
    <row r="21" spans="1:3">
      <c r="A21" s="226" t="s">
        <v>258</v>
      </c>
      <c r="B21" s="226"/>
      <c r="C21" s="226"/>
    </row>
    <row r="22" spans="1:3">
      <c r="A22" s="221" t="s">
        <v>293</v>
      </c>
    </row>
    <row r="23" spans="1:3">
      <c r="A23" s="158"/>
    </row>
    <row r="24" spans="1:3">
      <c r="A24" s="158"/>
    </row>
    <row r="25" spans="1:3" ht="15">
      <c r="A25" s="160" t="s">
        <v>247</v>
      </c>
    </row>
    <row r="27" spans="1:3" ht="16.5">
      <c r="A27" s="227" t="s">
        <v>125</v>
      </c>
      <c r="B27" s="229" t="s">
        <v>285</v>
      </c>
      <c r="C27" s="229"/>
    </row>
    <row r="28" spans="1:3">
      <c r="A28" s="228"/>
      <c r="B28" s="172" t="s">
        <v>36</v>
      </c>
      <c r="C28" s="172" t="s">
        <v>35</v>
      </c>
    </row>
    <row r="29" spans="1:3">
      <c r="A29" s="153" t="s">
        <v>126</v>
      </c>
      <c r="B29" s="173">
        <v>0.90909090909090906</v>
      </c>
      <c r="C29" s="173">
        <v>9.0909090909090912E-2</v>
      </c>
    </row>
    <row r="30" spans="1:3">
      <c r="A30" s="153" t="s">
        <v>127</v>
      </c>
      <c r="B30" s="178">
        <v>0.89473684210526316</v>
      </c>
      <c r="C30" s="174">
        <v>0.10526315789473684</v>
      </c>
    </row>
    <row r="31" spans="1:3">
      <c r="A31" s="153" t="s">
        <v>128</v>
      </c>
      <c r="B31" s="179">
        <v>0.80769230769230771</v>
      </c>
      <c r="C31" s="175">
        <v>0.19230769230769232</v>
      </c>
    </row>
    <row r="32" spans="1:3" ht="15">
      <c r="A32" s="169" t="s">
        <v>129</v>
      </c>
      <c r="B32" s="180">
        <v>0.8571428571428571</v>
      </c>
      <c r="C32" s="176">
        <v>0.14285714285714285</v>
      </c>
    </row>
    <row r="33" spans="1:3">
      <c r="A33" s="226" t="s">
        <v>258</v>
      </c>
      <c r="B33" s="226"/>
      <c r="C33" s="226"/>
    </row>
    <row r="34" spans="1:3">
      <c r="A34" s="161" t="s">
        <v>130</v>
      </c>
    </row>
    <row r="35" spans="1:3">
      <c r="A35" s="221" t="s">
        <v>293</v>
      </c>
    </row>
    <row r="38" spans="1:3" ht="15">
      <c r="A38" s="160" t="s">
        <v>248</v>
      </c>
    </row>
    <row r="40" spans="1:3" ht="16.5">
      <c r="A40" s="227" t="s">
        <v>131</v>
      </c>
      <c r="B40" s="229" t="s">
        <v>285</v>
      </c>
      <c r="C40" s="229"/>
    </row>
    <row r="41" spans="1:3">
      <c r="A41" s="228"/>
      <c r="B41" s="172" t="s">
        <v>36</v>
      </c>
      <c r="C41" s="172" t="s">
        <v>35</v>
      </c>
    </row>
    <row r="42" spans="1:3">
      <c r="A42" s="158">
        <v>2021</v>
      </c>
      <c r="B42" s="173">
        <v>0.86</v>
      </c>
      <c r="C42" s="173">
        <v>0.14000000000000001</v>
      </c>
    </row>
    <row r="43" spans="1:3">
      <c r="A43" s="158">
        <v>2022</v>
      </c>
      <c r="B43" s="174">
        <v>0.98</v>
      </c>
      <c r="C43" s="174">
        <v>0.02</v>
      </c>
    </row>
    <row r="44" spans="1:3" ht="15">
      <c r="A44" s="182">
        <v>2023</v>
      </c>
      <c r="B44" s="176">
        <v>0.86</v>
      </c>
      <c r="C44" s="176">
        <v>0.14000000000000001</v>
      </c>
    </row>
    <row r="45" spans="1:3">
      <c r="A45" s="226" t="s">
        <v>258</v>
      </c>
      <c r="B45" s="226"/>
      <c r="C45" s="226"/>
    </row>
    <row r="46" spans="1:3">
      <c r="A46" s="221" t="s">
        <v>293</v>
      </c>
    </row>
  </sheetData>
  <mergeCells count="12">
    <mergeCell ref="A40:A41"/>
    <mergeCell ref="B40:C40"/>
    <mergeCell ref="A45:C45"/>
    <mergeCell ref="A33:C33"/>
    <mergeCell ref="A27:A28"/>
    <mergeCell ref="B27:C27"/>
    <mergeCell ref="A21:C21"/>
    <mergeCell ref="A3:A4"/>
    <mergeCell ref="B3:C3"/>
    <mergeCell ref="A16:A17"/>
    <mergeCell ref="B16:C16"/>
    <mergeCell ref="A9:C9"/>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8F3D3-69E5-4507-8B81-9DB7822C3866}">
  <sheetPr codeName="Sheet21">
    <pageSetUpPr fitToPage="1"/>
  </sheetPr>
  <dimension ref="A1:W59"/>
  <sheetViews>
    <sheetView zoomScale="60" zoomScaleNormal="60" workbookViewId="0">
      <selection activeCell="V31" sqref="V31"/>
    </sheetView>
  </sheetViews>
  <sheetFormatPr defaultRowHeight="15"/>
  <cols>
    <col min="1" max="1" width="7.5703125" style="89" customWidth="1"/>
    <col min="3" max="3" width="157" customWidth="1"/>
    <col min="4" max="4" width="6.140625" customWidth="1"/>
    <col min="5" max="5" width="6.5703125" style="5" customWidth="1"/>
    <col min="6" max="6" width="7.5703125" style="5" customWidth="1"/>
    <col min="7" max="7" width="6.140625" style="5" customWidth="1"/>
    <col min="8" max="8" width="7.140625" style="5" customWidth="1"/>
    <col min="9" max="9" width="7.85546875" style="5" customWidth="1"/>
    <col min="10" max="10" width="8.42578125" style="5" customWidth="1"/>
    <col min="11" max="11" width="8.5703125" style="5" customWidth="1"/>
    <col min="12" max="12" width="10.5703125" style="5" customWidth="1"/>
    <col min="13" max="13" width="7.85546875" style="5" customWidth="1"/>
    <col min="14" max="15" width="8" style="5" customWidth="1"/>
    <col min="16" max="16" width="6.5703125" customWidth="1"/>
    <col min="17" max="17" width="8.42578125" customWidth="1"/>
  </cols>
  <sheetData>
    <row r="1" spans="1:19" s="1" customFormat="1" ht="44.1" customHeight="1">
      <c r="A1" s="140"/>
      <c r="C1" s="2" t="s">
        <v>132</v>
      </c>
      <c r="D1" s="2"/>
      <c r="E1" s="3" t="s">
        <v>140</v>
      </c>
      <c r="F1" s="4" t="s">
        <v>49</v>
      </c>
      <c r="G1" s="3" t="s">
        <v>141</v>
      </c>
      <c r="H1" s="183" t="s">
        <v>37</v>
      </c>
      <c r="I1" s="7" t="s">
        <v>44</v>
      </c>
      <c r="J1" s="183" t="s">
        <v>61</v>
      </c>
      <c r="K1" s="7" t="s">
        <v>50</v>
      </c>
      <c r="L1" s="7" t="s">
        <v>45</v>
      </c>
      <c r="M1" s="7" t="s">
        <v>43</v>
      </c>
      <c r="N1" s="7" t="s">
        <v>39</v>
      </c>
      <c r="O1" s="7" t="s">
        <v>41</v>
      </c>
      <c r="P1" s="170" t="s">
        <v>56</v>
      </c>
      <c r="Q1" s="170" t="s">
        <v>47</v>
      </c>
    </row>
    <row r="2" spans="1:19" s="1" customFormat="1" ht="30">
      <c r="A2" s="140"/>
      <c r="B2" s="1" t="s">
        <v>142</v>
      </c>
      <c r="C2" s="27" t="str">
        <f>C1</f>
        <v>Question</v>
      </c>
      <c r="D2" s="28" t="s">
        <v>143</v>
      </c>
      <c r="E2" s="28" t="str">
        <f>E1</f>
        <v>+ve</v>
      </c>
      <c r="F2" s="29" t="str">
        <f>F1</f>
        <v>Neutral</v>
      </c>
      <c r="G2" s="30" t="str">
        <f>G1</f>
        <v>-ve</v>
      </c>
      <c r="H2" s="28" t="s">
        <v>144</v>
      </c>
      <c r="I2" s="29" t="s">
        <v>145</v>
      </c>
      <c r="J2" s="29" t="s">
        <v>146</v>
      </c>
      <c r="K2" s="30" t="s">
        <v>42</v>
      </c>
      <c r="L2" s="28" t="s">
        <v>147</v>
      </c>
      <c r="M2" s="29" t="s">
        <v>148</v>
      </c>
      <c r="N2" s="29" t="s">
        <v>149</v>
      </c>
      <c r="O2" s="30" t="s">
        <v>150</v>
      </c>
      <c r="P2" s="28" t="s">
        <v>151</v>
      </c>
      <c r="Q2" s="29" t="s">
        <v>152</v>
      </c>
      <c r="R2" s="30" t="s">
        <v>153</v>
      </c>
    </row>
    <row r="3" spans="1:19">
      <c r="B3" t="s">
        <v>154</v>
      </c>
      <c r="C3" s="123" t="s">
        <v>30</v>
      </c>
      <c r="D3" s="124" t="e">
        <f t="shared" ref="D3:D9" si="0">SUM(E3:G3)</f>
        <v>#REF!</v>
      </c>
      <c r="E3" s="124" t="e">
        <f>COUNTIFS(#REF!,"No",#REF!,
"Yes")
/
COUNTIFS(#REF!,"&lt;&gt;I don't know / Prefer not to say/ I am not the complainant",#REF!,
"&lt;&gt;-",#REF!,
"Yes")</f>
        <v>#REF!</v>
      </c>
      <c r="F3" s="125" t="e">
        <f>COUNTIFS(#REF!,"Neutral",#REF!,
"Yes")
/
COUNTIFS(#REF!,"&lt;&gt;I don't know / Prefer not to say/ I am not the complainant",#REF!,
"&lt;&gt;-",#REF!,
"Yes")</f>
        <v>#REF!</v>
      </c>
      <c r="G3" s="126" t="e">
        <f>COUNTIFS(#REF!,"Yes",#REF!,
"Yes")
/
COUNTIFS(#REF!,"&lt;&gt;I don't know / Prefer not to say/ I am not the complainant",#REF!,
"&lt;&gt;-",#REF!,
"Yes")</f>
        <v>#REF!</v>
      </c>
      <c r="H3" s="124" t="e">
        <f>COUNTIFS(#REF!,"Yes",#REF!,
"Yes",#REF!,
H$1)
/
COUNTIFS(#REF!,"&lt;&gt;I don't know / Prefer not to say/ I am not the complainant",#REF!,
"&lt;&gt;-",#REF!,
"Yes",#REF!,
H$1)</f>
        <v>#REF!</v>
      </c>
      <c r="I3" s="125" t="e">
        <f>COUNTIFS(#REF!,"Yes",#REF!,
"Yes",#REF!,
I$1)
/
COUNTIFS(#REF!,"&lt;&gt;I don't know / Prefer not to say/ I am not the complainant",#REF!,
"&lt;&gt;-",#REF!,
"Yes",#REF!,
I$1)</f>
        <v>#REF!</v>
      </c>
      <c r="J3" s="125" t="e">
        <f>COUNTIFS(#REF!,"Yes",#REF!,
"Yes",#REF!,
J$1)
/
COUNTIFS(#REF!,"&lt;&gt;I don't know / Prefer not to say/ I am not the complainant",#REF!,
"&lt;&gt;-",#REF!,
"Yes",#REF!,
J$1)</f>
        <v>#REF!</v>
      </c>
      <c r="K3" s="126" t="e">
        <f>COUNTIFS(#REF!,"Yes",#REF!,
"Yes",#REF!,
K$1)
/
COUNTIFS(#REF!,"&lt;&gt;I don't know / Prefer not to say/ I am not the complainant",#REF!,
"&lt;&gt;-",#REF!,
"Yes",#REF!,
K$1)</f>
        <v>#REF!</v>
      </c>
      <c r="L3" s="124" t="e">
        <f>COUNTIFS(#REF!,"Yes",#REF!,
"Yes",#REF!,
L$1)
/
COUNTIFS(#REF!,"&lt;&gt;I don't know / Prefer not to say/ I am not the complainant",#REF!,
"&lt;&gt;-",#REF!,
"Yes",#REF!,
L$1)</f>
        <v>#REF!</v>
      </c>
      <c r="M3" s="125" t="e">
        <f>COUNTIFS(#REF!,"Yes",#REF!,
"Yes",#REF!,
M$1)
/
COUNTIFS(#REF!,"&lt;&gt;I don't know / Prefer not to say/ I am not the complainant",#REF!,
"&lt;&gt;-",#REF!,
"Yes",#REF!,
M$1)</f>
        <v>#REF!</v>
      </c>
      <c r="N3" s="125" t="s">
        <v>139</v>
      </c>
      <c r="O3" s="126" t="s">
        <v>139</v>
      </c>
      <c r="P3" s="124" t="e">
        <f>COUNTIFS(#REF!,"Yes",#REF!,
"Yes",#REF!,
P$1)
/
COUNTIFS(#REF!,"&lt;&gt;I don't know / Prefer not to say/ I am not the complainant",#REF!,
"&lt;&gt;-",#REF!,
"Yes",#REF!,
P$1)</f>
        <v>#REF!</v>
      </c>
      <c r="Q3" s="125" t="e">
        <f>COUNTIFS(#REF!,"Yes",#REF!,
"Yes",#REF!,
Q$1)
/
COUNTIFS(#REF!,"&lt;&gt;I don't know / Prefer not to say/ I am not the complainant",#REF!,
"&lt;&gt;-",#REF!,
"Yes",#REF!,
Q$1)</f>
        <v>#REF!</v>
      </c>
      <c r="R3" s="126" t="e">
        <f>COUNTIFS(#REF!,"Yes",#REF!,
"Yes",#REF!,
"&lt;&gt;Complaint was fully investigated and the complaint was fully or partially upheld",#REF!,
"&lt;&gt;Complaint was fully investigated and the complaint was not upheld")
/
COUNTIFS(#REF!,"&lt;&gt;I don't know / Prefer not to say/ I am not the complainant",#REF!,
"&lt;&gt;-",#REF!,
"Yes",#REF!,
"&lt;&gt;Complaint was fully investigated and the complaint was fully or partially upheld",#REF!,
"&lt;&gt;Complaint was fully investigated and the complaint was not upheld")</f>
        <v>#REF!</v>
      </c>
    </row>
    <row r="4" spans="1:19" s="1" customFormat="1">
      <c r="A4" s="140">
        <v>3.3</v>
      </c>
      <c r="B4" s="71" t="s">
        <v>155</v>
      </c>
      <c r="C4" s="72" t="s">
        <v>18</v>
      </c>
      <c r="D4" s="73" t="e">
        <f t="shared" si="0"/>
        <v>#REF!</v>
      </c>
      <c r="E4" s="73" t="e">
        <f>COUNTIFS(#REF!,"Yes",#REF!,
"Complainant (i.e. you made a Service Complaint in writing)",#REF!,
"Yes")
/
COUNTIFS(#REF!,"&lt;&gt;I don't know / Prefer not to say",#REF!,
"&lt;&gt;-",#REF!,
"Complainant (i.e. you made a Service Complaint in writing)",#REF!,
"Yes")</f>
        <v>#REF!</v>
      </c>
      <c r="F4" s="74" t="e">
        <f>COUNTIFS(#REF!,"Neutral",#REF!,
"Complainant (i.e. you made a Service Complaint in writing)",#REF!,
"Yes")
/
COUNTIFS(#REF!,"&lt;&gt;I don't know / Prefer not to say",#REF!,
"&lt;&gt;-",#REF!,
"Complainant (i.e. you made a Service Complaint in writing)",#REF!,
"Yes")</f>
        <v>#REF!</v>
      </c>
      <c r="G4" s="75" t="e">
        <f>COUNTIFS(#REF!,"No",#REF!,
"Complainant (i.e. you made a Service Complaint in writing)",#REF!,
"Yes")
/
COUNTIFS(#REF!,"&lt;&gt;I don't know / Prefer not to say",#REF!,
"&lt;&gt;-",#REF!,
"Complainant (i.e. you made a Service Complaint in writing)",#REF!,
"Yes")</f>
        <v>#REF!</v>
      </c>
      <c r="H4" s="73" t="e">
        <f>COUNTIFS(#REF!,"No",#REF!,
"Yes",#REF!,
"Complainant (i.e. you made a Service Complaint in writing)",#REF!,
H$1)
/
COUNTIFS(#REF!,"&lt;&gt;I don't know / Prefer not to say",#REF!,
"&lt;&gt;-",#REF!,
"Yes",#REF!,
"Complainant (i.e. you made a Service Complaint in writing)",#REF!,
H$1)</f>
        <v>#REF!</v>
      </c>
      <c r="I4" s="74" t="e">
        <f>COUNTIFS(#REF!,"No",#REF!,
"Yes",#REF!,
"Complainant (i.e. you made a Service Complaint in writing)",#REF!,
I$1)
/
COUNTIFS(#REF!,"&lt;&gt;I don't know / Prefer not to say",#REF!,
"&lt;&gt;-",#REF!,
"Yes",#REF!,
"Complainant (i.e. you made a Service Complaint in writing)",#REF!,
I$1)</f>
        <v>#REF!</v>
      </c>
      <c r="J4" s="74" t="e">
        <f>COUNTIFS(#REF!,"No",#REF!,
"Yes",#REF!,
"Complainant (i.e. you made a Service Complaint in writing)",#REF!,
J$1)
/
COUNTIFS(#REF!,"&lt;&gt;I don't know / Prefer not to say",#REF!,
"&lt;&gt;-",#REF!,
"Yes",#REF!,
"Complainant (i.e. you made a Service Complaint in writing)",#REF!,
J$1)</f>
        <v>#REF!</v>
      </c>
      <c r="K4" s="75" t="e">
        <f>COUNTIFS(#REF!,"No",#REF!,
"Yes",#REF!,
"Complainant (i.e. you made a Service Complaint in writing)",#REF!,
K$1)
/
COUNTIFS(#REF!,"&lt;&gt;I don't know / Prefer not to say",#REF!,
"&lt;&gt;-",#REF!,
"Yes",#REF!,
"Complainant (i.e. you made a Service Complaint in writing)",#REF!,
K$1)</f>
        <v>#REF!</v>
      </c>
      <c r="L4" s="76" t="e">
        <f>COUNTIFS(#REF!,"No",#REF!,
"Yes",#REF!,
"Complainant (i.e. you made a Service Complaint in writing)",#REF!,
L$1)
/
COUNTIFS(#REF!,"&lt;&gt;I don't know / Prefer not to say",#REF!,
"&lt;&gt;-",#REF!,
"Yes",#REF!,
"Complainant (i.e. you made a Service Complaint in writing)",#REF!,
L$1)</f>
        <v>#REF!</v>
      </c>
      <c r="M4" s="74" t="s">
        <v>139</v>
      </c>
      <c r="N4" s="74" t="s">
        <v>139</v>
      </c>
      <c r="O4" s="75" t="s">
        <v>139</v>
      </c>
      <c r="P4" s="73" t="e">
        <f>COUNTIFS(#REF!,"No",#REF!,
"Yes",#REF!,
"Complainant (i.e. you made a Service Complaint in writing)",#REF!,
P$1)
/
COUNTIFS(#REF!,"&lt;&gt;I don't know / Prefer not to say",#REF!,
"&lt;&gt;-",#REF!,
"Yes",#REF!,
"Complainant (i.e. you made a Service Complaint in writing)",#REF!,
P$1)</f>
        <v>#REF!</v>
      </c>
      <c r="Q4" s="74" t="e">
        <f>COUNTIFS(#REF!,"No",#REF!,
"Yes",#REF!,
"Complainant (i.e. you made a Service Complaint in writing)",#REF!,
Q$1)
/
COUNTIFS(#REF!,"&lt;&gt;I don't know / Prefer not to say",#REF!,
"&lt;&gt;-",#REF!,
"Yes",#REF!,
"Complainant (i.e. you made a Service Complaint in writing)",#REF!,
Q$1)</f>
        <v>#REF!</v>
      </c>
      <c r="R4" s="75" t="e">
        <f>COUNTIFS(#REF!,"No",#REF!,
"Yes",#REF!,
"Complainant (i.e. you made a Service Complaint in writing)",#REF!,
"&lt;&gt;Complaint was fully investigated and the complaint was fully or partially upheld",#REF!,
"&lt;&gt;Complaint was fully investigated and the complaint was not upheld")
/
COUNTIFS(#REF!,"&lt;&gt;I don't know / Prefer not to say",#REF!,
"&lt;&gt;-",#REF!,
"Yes",#REF!,
"Complainant (i.e. you made a Service Complaint in writing)",#REF!,
"&lt;&gt;Complaint was fully investigated and the complaint was fully or partially upheld",#REF!,
"&lt;&gt;Complaint was fully investigated and the complaint was not upheld")</f>
        <v>#REF!</v>
      </c>
      <c r="S4"/>
    </row>
    <row r="5" spans="1:19">
      <c r="A5" s="89">
        <v>3.7</v>
      </c>
      <c r="B5" t="s">
        <v>156</v>
      </c>
      <c r="C5" s="44" t="s">
        <v>12</v>
      </c>
      <c r="D5" s="45" t="e">
        <f t="shared" si="0"/>
        <v>#REF!</v>
      </c>
      <c r="E5" s="45" t="e">
        <f>COUNTIFS(#REF!,"Helpful",#REF!,
"Yes")
/
COUNTIFS(#REF!,"&lt;&gt;I don't know/ I prefer not to say",#REF!,
"&lt;&gt;-",#REF!,
"Yes")</f>
        <v>#REF!</v>
      </c>
      <c r="F5" s="137" t="e">
        <f>COUNTIFS(#REF!,"Neutral",#REF!,
"Yes")
/
COUNTIFS(#REF!,"&lt;&gt;I don't know/ I prefer not to say",#REF!,
"&lt;&gt;-",#REF!,
"Yes")</f>
        <v>#REF!</v>
      </c>
      <c r="G5" s="47" t="e">
        <f>COUNTIFS(#REF!,"Not Helpful",#REF!,
"Yes")
/
COUNTIFS(#REF!,"&lt;&gt;I don't know/ I prefer not to say",#REF!,
"&lt;&gt;-",#REF!,
"Yes")</f>
        <v>#REF!</v>
      </c>
      <c r="H5" s="45" t="e">
        <f>COUNTIFS(#REF!,"Not Helpful",#REF!,
"Yes",#REF!,
H$1)
/
COUNTIFS(#REF!,"&lt;&gt;I don't know/ I prefer not to say",#REF!,
"&lt;&gt;-",#REF!,
"Yes",#REF!,
H$1)</f>
        <v>#REF!</v>
      </c>
      <c r="I5" s="46" t="e">
        <f>COUNTIFS(#REF!,"Not Helpful",#REF!,
"Yes",#REF!,
I$1)
/
COUNTIFS(#REF!,"&lt;&gt;I don't know/ I prefer not to say",#REF!,
"&lt;&gt;-",#REF!,
"Yes",#REF!,
I$1)</f>
        <v>#REF!</v>
      </c>
      <c r="J5" s="46" t="e">
        <f>COUNTIFS(#REF!,"Not Helpful",#REF!,
"Yes",#REF!,
J$1)
/
COUNTIFS(#REF!,"&lt;&gt;I don't know/ I prefer not to say",#REF!,
"&lt;&gt;-",#REF!,
"Yes",#REF!,
J$1)</f>
        <v>#REF!</v>
      </c>
      <c r="K5" s="47" t="e">
        <f>COUNTIFS(#REF!,"Not Helpful",#REF!,
"Yes",#REF!,
K$1)
/
COUNTIFS(#REF!,"&lt;&gt;I don't know/ I prefer not to say",#REF!,
"&lt;&gt;-",#REF!,
"Yes",#REF!,
K$1)</f>
        <v>#REF!</v>
      </c>
      <c r="L5" s="45" t="e">
        <f>COUNTIFS(#REF!,"Not Helpful",#REF!,
"Yes",#REF!,
L$1)
/
COUNTIFS(#REF!,"&lt;&gt;I don't know/ I prefer not to say",#REF!,
"&lt;&gt;-",#REF!,
"Yes",#REF!,
L$1)</f>
        <v>#REF!</v>
      </c>
      <c r="M5" s="46" t="e">
        <f>COUNTIFS(#REF!,"Not Helpful",#REF!,
"Yes",#REF!,
M$1)
/
COUNTIFS(#REF!,"&lt;&gt;I don't know/ I prefer not to say",#REF!,
"&lt;&gt;-",#REF!,
"Yes",#REF!,
M$1)</f>
        <v>#REF!</v>
      </c>
      <c r="N5" s="137" t="e">
        <f>COUNTIFS(#REF!,"Not Helpful",#REF!,
"Yes",#REF!,
N$1)
/
COUNTIFS(#REF!,"&lt;&gt;I don't know/ I prefer not to say",#REF!,
"&lt;&gt;-",#REF!,
"Yes",#REF!,
N$1)</f>
        <v>#REF!</v>
      </c>
      <c r="O5" s="47" t="e">
        <f>COUNTIFS(#REF!,"Not Helpful",#REF!,
"Yes",#REF!,
O$1)
/
COUNTIFS(#REF!,"&lt;&gt;I don't know/ I prefer not to say",#REF!,
"&lt;&gt;-",#REF!,
"Yes",#REF!,
O$1)</f>
        <v>#REF!</v>
      </c>
      <c r="P5" s="45" t="e">
        <f>COUNTIFS(#REF!,"Not Helpful",#REF!,
"Yes",#REF!,
P$1)
/
COUNTIFS(#REF!,"&lt;&gt;I don't know/ I prefer not to say",#REF!,
"&lt;&gt;-",#REF!,
"Yes",#REF!,
P$1)</f>
        <v>#REF!</v>
      </c>
      <c r="Q5" s="46" t="e">
        <f>COUNTIFS(#REF!,"Not Helpful",#REF!,
"Yes",#REF!,
Q$1)
/
COUNTIFS(#REF!,"&lt;&gt;I don't know/ I prefer not to say",#REF!,
"&lt;&gt;-",#REF!,
"Yes",#REF!,
Q$1)</f>
        <v>#REF!</v>
      </c>
      <c r="R5" s="47" t="e">
        <f>COUNTIFS(#REF!,"Not Helpful",#REF!,
"Yes",#REF!,
"&lt;&gt;Complaint was fully investigated and the complaint was fully or partially upheld",#REF!,
"&lt;&gt;Complaint was fully investigated and the complaint was not upheld")
/
COUNTIFS(#REF!,"&lt;&gt;I don't know/ I prefer not to say",#REF!,
"&lt;&gt;-",#REF!,
"Yes",#REF!,
"&lt;&gt;Complaint was fully investigated and the complaint was fully or partially upheld",#REF!,
"&lt;&gt;Complaint was fully investigated and the complaint was not upheld")</f>
        <v>#REF!</v>
      </c>
    </row>
    <row r="6" spans="1:19">
      <c r="A6" s="122" t="s">
        <v>157</v>
      </c>
      <c r="B6" t="s">
        <v>158</v>
      </c>
      <c r="C6" s="127" t="s">
        <v>5</v>
      </c>
      <c r="D6" s="128" t="e">
        <f t="shared" si="0"/>
        <v>#REF!</v>
      </c>
      <c r="E6" s="128" t="e">
        <f>COUNTIFS(#REF!,"yes",#REF!,
"No")
/
COUNTIFS(#REF!,"&lt;&gt;I don't know/ I prefer not to say",#REF!,
"&lt;&gt;-",#REF!,
"No")</f>
        <v>#REF!</v>
      </c>
      <c r="F6" s="129" t="e">
        <f>COUNTIFS(#REF!,"Neutral",#REF!,
"No")
/
COUNTIFS(#REF!,"&lt;&gt;I don't know/ I prefer not to say",#REF!,
"&lt;&gt;-",#REF!,
"No")</f>
        <v>#REF!</v>
      </c>
      <c r="G6" s="130" t="e">
        <f>COUNTIFS(#REF!,"No",#REF!,
"No")
/
COUNTIFS(#REF!,"&lt;&gt;I don't know/ I prefer not to say",#REF!,
"&lt;&gt;-",#REF!,
"No")</f>
        <v>#REF!</v>
      </c>
      <c r="H6" s="131"/>
      <c r="I6" s="132"/>
      <c r="J6" s="132"/>
      <c r="K6" s="133"/>
      <c r="L6" s="131"/>
      <c r="M6" s="132"/>
      <c r="N6" s="132"/>
      <c r="O6" s="133"/>
      <c r="P6" s="131"/>
      <c r="Q6" s="132"/>
      <c r="R6" s="133"/>
    </row>
    <row r="7" spans="1:19" s="1" customFormat="1">
      <c r="A7" s="141" t="s">
        <v>159</v>
      </c>
      <c r="B7" t="s">
        <v>160</v>
      </c>
      <c r="C7" s="127" t="s">
        <v>4</v>
      </c>
      <c r="D7" s="128" t="e">
        <f t="shared" si="0"/>
        <v>#REF!</v>
      </c>
      <c r="E7" s="128" t="e">
        <f>COUNTIFS(#REF!,"yes",#REF!,
"No")
/
COUNTIFS(#REF!,"&lt;&gt;I didn't know that the Ombudsman existed/ I prefer not to say",#REF!,
"&lt;&gt;-",#REF!,
"No")</f>
        <v>#REF!</v>
      </c>
      <c r="F7" s="129" t="e">
        <f>COUNTIFS(#REF!,"Neutral",#REF!,
"No")
/
COUNTIFS(#REF!,"&lt;&gt;I didn't know that the Ombudsman existed/ I prefer not to say",#REF!,
"&lt;&gt;-",#REF!,
"No")</f>
        <v>#REF!</v>
      </c>
      <c r="G7" s="130" t="e">
        <f>COUNTIFS(#REF!,"No",#REF!,
"No")
/
COUNTIFS(#REF!,"&lt;&gt;I didn't know that the Ombudsman existed/ I prefer not to say",#REF!,
"&lt;&gt;-",#REF!,
"No")</f>
        <v>#REF!</v>
      </c>
      <c r="H7" s="131"/>
      <c r="I7" s="132"/>
      <c r="J7" s="132"/>
      <c r="K7" s="133"/>
      <c r="L7" s="131"/>
      <c r="M7" s="132"/>
      <c r="N7" s="132"/>
      <c r="O7" s="133"/>
      <c r="P7" s="131"/>
      <c r="Q7" s="132"/>
      <c r="R7" s="133"/>
    </row>
    <row r="8" spans="1:19">
      <c r="A8" s="122" t="s">
        <v>161</v>
      </c>
      <c r="B8" t="s">
        <v>162</v>
      </c>
      <c r="C8" s="127" t="s">
        <v>3</v>
      </c>
      <c r="D8" s="128" t="e">
        <f t="shared" si="0"/>
        <v>#REF!</v>
      </c>
      <c r="E8" s="128" t="e">
        <f>COUNTIFS(#REF!,"yes",#REF!,
"No")
/
COUNTIFS(#REF!,"&lt;&gt;I didn't know SCOAF existed/ I prefer not to say",#REF!,
"&lt;&gt;I haven't sought any information on SCOAF",#REF!,
"&lt;&gt;-",#REF!,
"No")</f>
        <v>#REF!</v>
      </c>
      <c r="F8" s="129" t="e">
        <f>COUNTIFS(#REF!,"Neutral",#REF!,
"No")
/
COUNTIFS(#REF!,"&lt;&gt;I didn't know SCOAF existed/ I prefer not to say",#REF!,
"&lt;&gt;I haven't sought any information on SCOAF",#REF!,
"&lt;&gt;-",#REF!,
"No")</f>
        <v>#REF!</v>
      </c>
      <c r="G8" s="130" t="e">
        <f>COUNTIFS(#REF!,"No",#REF!,
"No")
/
COUNTIFS(#REF!,"&lt;&gt;I didn't know SCOAF existed/ I prefer not to say",#REF!,
"&lt;&gt;I haven't sought any information on SCOAF",#REF!,
"&lt;&gt;-",#REF!,
"No")</f>
        <v>#REF!</v>
      </c>
      <c r="H8" s="131"/>
      <c r="I8" s="132"/>
      <c r="J8" s="132"/>
      <c r="K8" s="133"/>
      <c r="L8" s="131"/>
      <c r="M8" s="132"/>
      <c r="N8" s="132"/>
      <c r="O8" s="133"/>
      <c r="P8" s="131"/>
      <c r="Q8" s="132"/>
      <c r="R8" s="133"/>
    </row>
    <row r="9" spans="1:19">
      <c r="A9" s="122" t="s">
        <v>163</v>
      </c>
      <c r="B9" t="s">
        <v>164</v>
      </c>
      <c r="C9" s="127" t="s">
        <v>2</v>
      </c>
      <c r="D9" s="128" t="e">
        <f t="shared" si="0"/>
        <v>#REF!</v>
      </c>
      <c r="E9" s="128" t="e">
        <f>COUNTIFS(#REF!,"yes",#REF!,
"No")
/
COUNTIFS(#REF!,"&lt;&gt;I didn't know SCOAF existed/ I prefer not to say",#REF!,
"&lt;&gt;I haven't sought any information on SCOAF",#REF!,
"&lt;&gt;-",#REF!,
"No")</f>
        <v>#REF!</v>
      </c>
      <c r="F9" s="129" t="e">
        <f>COUNTIFS(#REF!,"Neutral",#REF!,
"No")
/
COUNTIFS(#REF!,"&lt;&gt;I didn't know SCOAF existed/ I prefer not to say",#REF!,
"&lt;&gt;I haven't sought any information on SCOAF",#REF!,
"&lt;&gt;-",#REF!,
"No")</f>
        <v>#REF!</v>
      </c>
      <c r="G9" s="130" t="e">
        <f>COUNTIFS(#REF!,"No",#REF!,
"No")
/
COUNTIFS(#REF!,"&lt;&gt;I didn't know SCOAF existed/ I prefer not to say",#REF!,
"&lt;&gt;I haven't sought any information on SCOAF",#REF!,
"&lt;&gt;-",#REF!,
"No")</f>
        <v>#REF!</v>
      </c>
      <c r="H9" s="131"/>
      <c r="I9" s="132"/>
      <c r="J9" s="132"/>
      <c r="K9" s="133"/>
      <c r="L9" s="131"/>
      <c r="M9" s="132"/>
      <c r="N9" s="132"/>
      <c r="O9" s="133"/>
      <c r="P9" s="131"/>
      <c r="Q9" s="132"/>
      <c r="R9" s="133"/>
    </row>
    <row r="10" spans="1:19">
      <c r="C10" s="55"/>
      <c r="D10" s="56"/>
      <c r="E10" s="56"/>
      <c r="F10" s="6"/>
      <c r="G10" s="57"/>
      <c r="H10" s="56"/>
      <c r="I10" s="6"/>
      <c r="J10" s="6"/>
      <c r="K10" s="57"/>
      <c r="L10" s="56"/>
      <c r="M10" s="6"/>
      <c r="N10" s="6"/>
      <c r="O10" s="57"/>
      <c r="P10" s="56"/>
      <c r="Q10" s="6"/>
      <c r="R10" s="57"/>
    </row>
    <row r="11" spans="1:19">
      <c r="D11" s="56"/>
      <c r="E11" s="56"/>
      <c r="F11" s="6"/>
      <c r="G11" s="57"/>
      <c r="H11" s="56"/>
      <c r="I11" s="6"/>
      <c r="J11" s="6"/>
      <c r="K11" s="57"/>
      <c r="L11" s="56"/>
      <c r="M11" s="6"/>
      <c r="N11" s="6"/>
      <c r="O11" s="57"/>
      <c r="P11" s="56"/>
      <c r="Q11" s="6"/>
      <c r="R11" s="57"/>
    </row>
    <row r="12" spans="1:19">
      <c r="A12" s="89">
        <v>3.13</v>
      </c>
      <c r="B12" s="70" t="s">
        <v>165</v>
      </c>
      <c r="C12" s="80" t="s">
        <v>25</v>
      </c>
      <c r="D12" s="77" t="e">
        <f t="shared" ref="D12:D18" si="1">SUM(E12:G12)</f>
        <v>#REF!</v>
      </c>
      <c r="E12" s="77" t="e">
        <f>COUNTIFS(#REF!,"Yes",#REF!,
"Complainant (i.e. you made a Service Complaint in writing)",#REF!,
"Yes",#REF!,"&lt;&gt;-",#REF!,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
/
COUNTIFS(#REF!,"&lt;&gt;I don't know / Prefer not to say",#REF!,
"&lt;&gt;-",#REF!,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f>
        <v>#REF!</v>
      </c>
      <c r="F12" s="78" t="e">
        <f>COUNTIFS(#REF!,"Neutral",#REF!,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
/
COUNTIFS(#REF!,"&lt;&gt;I don't know / Prefer not to say",#REF!,
"&lt;&gt;-",#REF!,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f>
        <v>#REF!</v>
      </c>
      <c r="G12" s="79" t="e">
        <f>COUNTIFS(#REF!,"No",#REF!,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
/
COUNTIFS(#REF!,"&lt;&gt;I don't know / Prefer not to say",#REF!,
"&lt;&gt;-",#REF!,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f>
        <v>#REF!</v>
      </c>
      <c r="H12" s="77" t="e">
        <f>COUNTIFS(#REF!,"No",#REF!,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H$1)
/
COUNTIFS(#REF!,"&lt;&gt;I don't know / Prefer not to say",#REF!,
"&lt;&gt;-",#REF!,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H$1)</f>
        <v>#REF!</v>
      </c>
      <c r="I12" s="78" t="e">
        <f>COUNTIFS(#REF!,"No",#REF!,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I$1)
/
COUNTIFS(#REF!,"&lt;&gt;I don't know / Prefer not to say",#REF!,
"&lt;&gt;-",#REF!,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I$1)</f>
        <v>#REF!</v>
      </c>
      <c r="J12" s="78" t="e">
        <f>COUNTIFS(#REF!,"No",#REF!,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J$1)
/
COUNTIFS(#REF!,"&lt;&gt;I don't know / Prefer not to say",#REF!,
"&lt;&gt;-",#REF!,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J$1)</f>
        <v>#REF!</v>
      </c>
      <c r="K12" s="79" t="e">
        <f>COUNTIFS(#REF!,"No",#REF!,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K$1)
/
COUNTIFS(#REF!,"&lt;&gt;I don't know / Prefer not to say",#REF!,
"&lt;&gt;-",#REF!,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K$1)</f>
        <v>#REF!</v>
      </c>
      <c r="L12" s="139" t="e">
        <f>COUNTIFS(#REF!,"No",#REF!,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L$1)
/
COUNTIFS(#REF!,"&lt;&gt;I don't know / Prefer not to say",#REF!,
"&lt;&gt;-",#REF!,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L$1)</f>
        <v>#REF!</v>
      </c>
      <c r="M12" s="78" t="s">
        <v>139</v>
      </c>
      <c r="N12" s="78" t="s">
        <v>139</v>
      </c>
      <c r="O12" s="79" t="s">
        <v>139</v>
      </c>
      <c r="P12" s="77" t="e">
        <f>COUNTIFS(#REF!,"No",#REF!,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P$1)
/
COUNTIFS(#REF!,"&lt;&gt;I don't know / Prefer not to say",#REF!,
"&lt;&gt;-",#REF!,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P$1)</f>
        <v>#REF!</v>
      </c>
      <c r="Q12" s="78" t="e">
        <f>COUNTIFS(#REF!,"No",#REF!,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Q$1)
/
COUNTIFS(#REF!,"&lt;&gt;I don't know / Prefer not to say",#REF!,
"&lt;&gt;-",#REF!,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Q$1)</f>
        <v>#REF!</v>
      </c>
      <c r="R12" s="79" t="s">
        <v>139</v>
      </c>
      <c r="S12" s="89"/>
    </row>
    <row r="13" spans="1:19">
      <c r="A13" s="89">
        <v>3.12</v>
      </c>
      <c r="B13" t="s">
        <v>166</v>
      </c>
      <c r="C13" s="58" t="s">
        <v>24</v>
      </c>
      <c r="D13" s="59" t="e">
        <f t="shared" si="1"/>
        <v>#REF!</v>
      </c>
      <c r="E13" s="59" t="e">
        <f>COUNTIFS(#REF!,"Yes",#REF!,
"Yes")
/
COUNTIFS(#REF!,"&lt;&gt;I don't know / Prefer not to say",#REF!,
"&lt;&gt;-",#REF!,
"Yes")</f>
        <v>#REF!</v>
      </c>
      <c r="F13" s="60" t="e">
        <f>COUNTIFS(#REF!,"Neutral",#REF!,
"Yes")
/
COUNTIFS(#REF!,"&lt;&gt;I don't know / Prefer not to say",#REF!,
"&lt;&gt;-",#REF!,
"Yes")</f>
        <v>#REF!</v>
      </c>
      <c r="G13" s="61" t="e">
        <f>COUNTIFS(#REF!,"No",#REF!,
"Yes")
/
COUNTIFS(#REF!,"&lt;&gt;I don't know / Prefer not to say",#REF!,
"&lt;&gt;-",#REF!,
"Yes")</f>
        <v>#REF!</v>
      </c>
      <c r="H13" s="59" t="e">
        <f>COUNTIFS(#REF!,"No",#REF!,
"Yes",#REF!,
H$1)
/
COUNTIFS(#REF!,"&lt;&gt;I don't know / Prefer not to say",#REF!,
"&lt;&gt;-",#REF!,
"Yes",#REF!,
H$1)</f>
        <v>#REF!</v>
      </c>
      <c r="I13" s="60" t="e">
        <f>COUNTIFS(#REF!,"No",#REF!,
"Yes",#REF!,
I$1)
/
COUNTIFS(#REF!,"&lt;&gt;I don't know / Prefer not to say",#REF!,
"&lt;&gt;-",#REF!,
"Yes",#REF!,
I$1)</f>
        <v>#REF!</v>
      </c>
      <c r="J13" s="60" t="e">
        <f>COUNTIFS(#REF!,"No",#REF!,
"Yes",#REF!,
J$1)
/
COUNTIFS(#REF!,"&lt;&gt;I don't know / Prefer not to say",#REF!,
"&lt;&gt;-",#REF!,
"Yes",#REF!,
J$1)</f>
        <v>#REF!</v>
      </c>
      <c r="K13" s="61" t="e">
        <f>COUNTIFS(#REF!,"No",#REF!,
"Yes",#REF!,
K$1)
/
COUNTIFS(#REF!,"&lt;&gt;I don't know / Prefer not to say",#REF!,
"&lt;&gt;-",#REF!,
"Yes",#REF!,
K$1)</f>
        <v>#REF!</v>
      </c>
      <c r="L13" s="59" t="e">
        <f>COUNTIFS(#REF!,"No",#REF!,
"Yes",#REF!,
L$1)
/
COUNTIFS(#REF!,"&lt;&gt;I don't know / Prefer not to say",#REF!,
"&lt;&gt;-",#REF!,
"Yes",#REF!,
L$1)</f>
        <v>#REF!</v>
      </c>
      <c r="M13" s="60" t="e">
        <f>COUNTIFS(#REF!,"No",#REF!,
"Yes",#REF!,
M$1)
/
COUNTIFS(#REF!,"&lt;&gt;I don't know / Prefer not to say",#REF!,
"&lt;&gt;-",#REF!,
"Yes",#REF!,
M$1)</f>
        <v>#REF!</v>
      </c>
      <c r="N13" s="60" t="s">
        <v>139</v>
      </c>
      <c r="O13" s="61" t="s">
        <v>139</v>
      </c>
      <c r="P13" s="59" t="e">
        <f>COUNTIFS(#REF!,"No",#REF!,
"Yes",#REF!,
P$1)
/
COUNTIFS(#REF!,"&lt;&gt;I don't know / Prefer not to say",#REF!,
"&lt;&gt;-",#REF!,
"Yes",#REF!,
P$1)</f>
        <v>#REF!</v>
      </c>
      <c r="Q13" s="60" t="e">
        <f>COUNTIFS(#REF!,"No",#REF!,
"Yes",#REF!,
Q$1)
/
COUNTIFS(#REF!,"&lt;&gt;I don't know / Prefer not to say",#REF!,
"&lt;&gt;-",#REF!,
"Yes",#REF!,
Q$1)</f>
        <v>#REF!</v>
      </c>
      <c r="R13" s="61" t="e">
        <f>COUNTIFS(#REF!,"No",#REF!,
"Yes",#REF!,
"&lt;&gt;Complaint was fully investigated and the complaint was fully or partially upheld",#REF!,
"&lt;&gt;Complaint was fully investigated and the complaint was not upheld")
/
COUNTIFS(#REF!,"&lt;&gt;I don't know / Prefer not to say",#REF!,
"&lt;&gt;-",#REF!,
"Yes",#REF!,
"&lt;&gt;Complaint was fully investigated and the complaint was fully or partially upheld",#REF!,
"&lt;&gt;Complaint was fully investigated and the complaint was not upheld")</f>
        <v>#REF!</v>
      </c>
      <c r="S13" s="89"/>
    </row>
    <row r="14" spans="1:19">
      <c r="A14" s="89">
        <v>3.11</v>
      </c>
      <c r="B14" t="s">
        <v>167</v>
      </c>
      <c r="C14" s="58" t="s">
        <v>23</v>
      </c>
      <c r="D14" s="59" t="e">
        <f t="shared" si="1"/>
        <v>#REF!</v>
      </c>
      <c r="E14" s="59" t="e">
        <f>COUNTIFS(#REF!,"Yes",#REF!,
"Yes")
/
COUNTIFS(#REF!,"&lt;&gt;I don't know / Prefer not to say",#REF!,
"&lt;&gt;-",#REF!,
"Yes")</f>
        <v>#REF!</v>
      </c>
      <c r="F14" s="60" t="e">
        <f>COUNTIFS(#REF!,"Neutral",#REF!,
"Yes")
/
COUNTIFS(#REF!,"&lt;&gt;I don't know / Prefer not to say",#REF!,
"&lt;&gt;-",#REF!,
"Yes")</f>
        <v>#REF!</v>
      </c>
      <c r="G14" s="61" t="e">
        <f>COUNTIFS(#REF!,"No",#REF!,
"Yes")
/
COUNTIFS(#REF!,"&lt;&gt;I don't know / Prefer not to say",#REF!,
"&lt;&gt;-",#REF!,
"Yes")</f>
        <v>#REF!</v>
      </c>
      <c r="H14" s="59" t="e">
        <f>COUNTIFS(#REF!,"No",#REF!,
"Yes",#REF!,
H$1)
/
COUNTIFS(#REF!,"&lt;&gt;I don't know / Prefer not to say",#REF!,
"&lt;&gt;-",#REF!,
"Yes",#REF!,
H$1)</f>
        <v>#REF!</v>
      </c>
      <c r="I14" s="60" t="e">
        <f>COUNTIFS(#REF!,"No",#REF!,
"Yes",#REF!,
I$1)
/
COUNTIFS(#REF!,"&lt;&gt;I don't know / Prefer not to say",#REF!,
"&lt;&gt;-",#REF!,
"Yes",#REF!,
I$1)</f>
        <v>#REF!</v>
      </c>
      <c r="J14" s="60" t="e">
        <f>COUNTIFS(#REF!,"No",#REF!,
"Yes",#REF!,
J$1)
/
COUNTIFS(#REF!,"&lt;&gt;I don't know / Prefer not to say",#REF!,
"&lt;&gt;-",#REF!,
"Yes",#REF!,
J$1)</f>
        <v>#REF!</v>
      </c>
      <c r="K14" s="61" t="e">
        <f>COUNTIFS(#REF!,"No",#REF!,
"Yes",#REF!,
K$1)
/
COUNTIFS(#REF!,"&lt;&gt;I don't know / Prefer not to say",#REF!,
"&lt;&gt;-",#REF!,
"Yes",#REF!,
K$1)</f>
        <v>#REF!</v>
      </c>
      <c r="L14" s="59" t="e">
        <f>COUNTIFS(#REF!,"No",#REF!,
"Yes",#REF!,
L$1)
/
COUNTIFS(#REF!,"&lt;&gt;I don't know / Prefer not to say",#REF!,
"&lt;&gt;-",#REF!,
"Yes",#REF!,
L$1)</f>
        <v>#REF!</v>
      </c>
      <c r="M14" s="60" t="e">
        <f>COUNTIFS(#REF!,"No",#REF!,
"Yes",#REF!,
M$1)
/
COUNTIFS(#REF!,"&lt;&gt;I don't know / Prefer not to say",#REF!,
"&lt;&gt;-",#REF!,
"Yes",#REF!,
M$1)</f>
        <v>#REF!</v>
      </c>
      <c r="N14" s="60" t="s">
        <v>139</v>
      </c>
      <c r="O14" s="61" t="s">
        <v>139</v>
      </c>
      <c r="P14" s="59" t="e">
        <f>COUNTIFS(#REF!,"No",#REF!,
"Yes",#REF!,
P$1)
/
COUNTIFS(#REF!,"&lt;&gt;I don't know / Prefer not to say",#REF!,
"&lt;&gt;-",#REF!,
"Yes",#REF!,
P$1)</f>
        <v>#REF!</v>
      </c>
      <c r="Q14" s="60" t="e">
        <f>COUNTIFS(#REF!,"No",#REF!,
"Yes",#REF!,
Q$1)
/
COUNTIFS(#REF!,"&lt;&gt;I don't know / Prefer not to say",#REF!,
"&lt;&gt;-",#REF!,
"Yes",#REF!,
Q$1)</f>
        <v>#REF!</v>
      </c>
      <c r="R14" s="61" t="e">
        <f>COUNTIFS(#REF!,"No",#REF!,
"Yes",#REF!,
"&lt;&gt;Complaint was fully investigated and the complaint was fully or partially upheld",#REF!,
"&lt;&gt;Complaint was fully investigated and the complaint was not upheld")
/
COUNTIFS(#REF!,"&lt;&gt;I don't know / Prefer not to say",#REF!,
"&lt;&gt;-",#REF!,
"Yes",#REF!,
"&lt;&gt;Complaint was fully investigated and the complaint was fully or partially upheld",#REF!,
"&lt;&gt;Complaint was fully investigated and the complaint was not upheld")</f>
        <v>#REF!</v>
      </c>
      <c r="S14" s="89"/>
    </row>
    <row r="15" spans="1:19">
      <c r="A15" s="89">
        <v>3.5</v>
      </c>
      <c r="B15" t="s">
        <v>168</v>
      </c>
      <c r="C15" s="58" t="s">
        <v>22</v>
      </c>
      <c r="D15" s="59" t="e">
        <f t="shared" si="1"/>
        <v>#REF!</v>
      </c>
      <c r="E15" s="59" t="e">
        <f>COUNTIFS(#REF!,"Yes",#REF!,
"Yes")
/
COUNTIFS(#REF!,"&lt;&gt;I don't know / Prefer not to say",#REF!,
"&lt;&gt;-",#REF!,
"Yes")</f>
        <v>#REF!</v>
      </c>
      <c r="F15" s="60" t="e">
        <f>COUNTIFS(#REF!,"Neutral",#REF!,
"Yes")
/
COUNTIFS(#REF!,"&lt;&gt;I don't know / Prefer not to say",#REF!,
"&lt;&gt;-",#REF!,
"Yes")</f>
        <v>#REF!</v>
      </c>
      <c r="G15" s="61" t="e">
        <f>COUNTIFS(#REF!,"No",#REF!,
"Yes")
/
COUNTIFS(#REF!,"&lt;&gt;I don't know / Prefer not to say",#REF!,
"&lt;&gt;-",#REF!,
"Yes")</f>
        <v>#REF!</v>
      </c>
      <c r="H15" s="59" t="e">
        <f>COUNTIFS(#REF!,"No",#REF!,
"Yes",#REF!,
H$1)
/
COUNTIFS(#REF!,"&lt;&gt;I don't know / Prefer not to say",#REF!,
"&lt;&gt;-",#REF!,
"Yes",#REF!,
H$1)</f>
        <v>#REF!</v>
      </c>
      <c r="I15" s="78" t="e">
        <f>COUNTIFS(#REF!,"No",#REF!,
"Yes",#REF!,
I$1)
/
COUNTIFS(#REF!,"&lt;&gt;I don't know / Prefer not to say",#REF!,
"&lt;&gt;-",#REF!,
"Yes",#REF!,
I$1)</f>
        <v>#REF!</v>
      </c>
      <c r="J15" s="60" t="e">
        <f>COUNTIFS(#REF!,"No",#REF!,
"Yes",#REF!,
J$1)
/
COUNTIFS(#REF!,"&lt;&gt;I don't know / Prefer not to say",#REF!,
"&lt;&gt;-",#REF!,
"Yes",#REF!,
J$1)</f>
        <v>#REF!</v>
      </c>
      <c r="K15" s="61" t="e">
        <f>COUNTIFS(#REF!,"No",#REF!,
"Yes",#REF!,
K$1)
/
COUNTIFS(#REF!,"&lt;&gt;I don't know / Prefer not to say",#REF!,
"&lt;&gt;-",#REF!,
"Yes",#REF!,
K$1)</f>
        <v>#REF!</v>
      </c>
      <c r="L15" s="59" t="e">
        <f>COUNTIFS(#REF!,"No",#REF!,
"Yes",#REF!,
L$1)
/
COUNTIFS(#REF!,"&lt;&gt;I don't know / Prefer not to say",#REF!,
"&lt;&gt;-",#REF!,
"Yes",#REF!,
L$1)</f>
        <v>#REF!</v>
      </c>
      <c r="M15" s="60" t="e">
        <f>COUNTIFS(#REF!,"No",#REF!,
"Yes",#REF!,
M$1)
/
COUNTIFS(#REF!,"&lt;&gt;I don't know / Prefer not to say",#REF!,
"&lt;&gt;-",#REF!,
"Yes",#REF!,
M$1)</f>
        <v>#REF!</v>
      </c>
      <c r="N15" s="60" t="s">
        <v>139</v>
      </c>
      <c r="O15" s="61" t="s">
        <v>139</v>
      </c>
      <c r="P15" s="59" t="e">
        <f>COUNTIFS(#REF!,"No",#REF!,
"Yes",#REF!,
P$1)
/
COUNTIFS(#REF!,"&lt;&gt;I don't know / Prefer not to say",#REF!,
"&lt;&gt;-",#REF!,
"Yes",#REF!,
P$1)</f>
        <v>#REF!</v>
      </c>
      <c r="Q15" s="60" t="e">
        <f>COUNTIFS(#REF!,"No",#REF!,
"Yes",#REF!,
Q$1)
/
COUNTIFS(#REF!,"&lt;&gt;I don't know / Prefer not to say",#REF!,
"&lt;&gt;-",#REF!,
"Yes",#REF!,
Q$1)</f>
        <v>#REF!</v>
      </c>
      <c r="R15" s="61" t="e">
        <f>COUNTIFS(#REF!,"No",#REF!,
"Yes",#REF!,
"&lt;&gt;Complaint was fully investigated and the complaint was fully or partially upheld",#REF!,
"&lt;&gt;Complaint was fully investigated and the complaint was not upheld")
/
COUNTIFS(#REF!,"&lt;&gt;I don't know / Prefer not to say",#REF!,
"&lt;&gt;-",#REF!,
"Yes",#REF!,
"&lt;&gt;Complaint was fully investigated and the complaint was fully or partially upheld",#REF!,
"&lt;&gt;Complaint was fully investigated and the complaint was not upheld")</f>
        <v>#REF!</v>
      </c>
      <c r="S15" s="89"/>
    </row>
    <row r="16" spans="1:19">
      <c r="A16" s="89">
        <v>3.4</v>
      </c>
      <c r="B16" t="s">
        <v>169</v>
      </c>
      <c r="C16" s="184" t="s">
        <v>21</v>
      </c>
      <c r="D16" s="59" t="e">
        <f t="shared" si="1"/>
        <v>#REF!</v>
      </c>
      <c r="E16" s="59" t="e">
        <f>COUNTIFS(#REF!,"Yes",#REF!,
"Yes")
/
COUNTIFS(#REF!,"&lt;&gt;I don't know / Prefer not to say",#REF!,
"&lt;&gt;-",#REF!,
"Yes")</f>
        <v>#REF!</v>
      </c>
      <c r="F16" s="60" t="e">
        <f>COUNTIFS(#REF!,"Neutral",#REF!,
"Yes")
/
COUNTIFS(#REF!,"&lt;&gt;I don't know / Prefer not to say",#REF!,
"&lt;&gt;-",#REF!,
"Yes")</f>
        <v>#REF!</v>
      </c>
      <c r="G16" s="61" t="e">
        <f>COUNTIFS(#REF!,"No",#REF!,
"Yes")
/
COUNTIFS(#REF!,"&lt;&gt;I don't know / Prefer not to say",#REF!,
"&lt;&gt;-",#REF!,
"Yes")</f>
        <v>#REF!</v>
      </c>
      <c r="H16" s="59" t="e">
        <f>COUNTIFS(#REF!,"No",#REF!,
"Yes",#REF!,
H$1)
/
COUNTIFS(#REF!,"&lt;&gt;I don't know / Prefer not to say",#REF!,
"&lt;&gt;-",#REF!,
"Yes",#REF!,
H$1)</f>
        <v>#REF!</v>
      </c>
      <c r="I16" s="60" t="e">
        <f>COUNTIFS(#REF!,"No",#REF!,
"Yes",#REF!,
I$1)
/
COUNTIFS(#REF!,"&lt;&gt;I don't know / Prefer not to say",#REF!,
"&lt;&gt;-",#REF!,
"Yes",#REF!,
I$1)</f>
        <v>#REF!</v>
      </c>
      <c r="J16" s="60" t="e">
        <f>COUNTIFS(#REF!,"No",#REF!,
"Yes",#REF!,
J$1)
/
COUNTIFS(#REF!,"&lt;&gt;I don't know / Prefer not to say",#REF!,
"&lt;&gt;-",#REF!,
"Yes",#REF!,
J$1)</f>
        <v>#REF!</v>
      </c>
      <c r="K16" s="61" t="e">
        <f>COUNTIFS(#REF!,"No",#REF!,
"Yes",#REF!,
K$1)
/
COUNTIFS(#REF!,"&lt;&gt;I don't know / Prefer not to say",#REF!,
"&lt;&gt;-",#REF!,
"Yes",#REF!,
K$1)</f>
        <v>#REF!</v>
      </c>
      <c r="L16" s="59" t="e">
        <f>COUNTIFS(#REF!,"No",#REF!,
"Yes",#REF!,
L$1)
/
COUNTIFS(#REF!,"&lt;&gt;I don't know / Prefer not to say",#REF!,
"&lt;&gt;-",#REF!,
"Yes",#REF!,
L$1)</f>
        <v>#REF!</v>
      </c>
      <c r="M16" s="60" t="e">
        <f>COUNTIFS(#REF!,"No",#REF!,
"Yes",#REF!,
M$1)
/
COUNTIFS(#REF!,"&lt;&gt;I don't know / Prefer not to say",#REF!,
"&lt;&gt;-",#REF!,
"Yes",#REF!,
M$1)</f>
        <v>#REF!</v>
      </c>
      <c r="N16" s="60" t="s">
        <v>139</v>
      </c>
      <c r="O16" s="61" t="s">
        <v>139</v>
      </c>
      <c r="P16" s="59" t="e">
        <f>COUNTIFS(#REF!,"No",#REF!,
"Yes",#REF!,
P$1)
/
COUNTIFS(#REF!,"&lt;&gt;I don't know / Prefer not to say",#REF!,
"&lt;&gt;-",#REF!,
"Yes",#REF!,
P$1)</f>
        <v>#REF!</v>
      </c>
      <c r="Q16" s="60" t="e">
        <f>COUNTIFS(#REF!,"No",#REF!,
"Yes",#REF!,
Q$1)
/
COUNTIFS(#REF!,"&lt;&gt;I don't know / Prefer not to say",#REF!,
"&lt;&gt;-",#REF!,
"Yes",#REF!,
Q$1)</f>
        <v>#REF!</v>
      </c>
      <c r="R16" s="61" t="e">
        <f>COUNTIFS(#REF!,"No",#REF!,
"Yes",#REF!,
"&lt;&gt;Complaint was fully investigated and the complaint was fully or partially upheld",#REF!,
"&lt;&gt;Complaint was fully investigated and the complaint was not upheld")
/
COUNTIFS(#REF!,"&lt;&gt;I don't know / Prefer not to say",#REF!,
"&lt;&gt;-",#REF!,
"Yes",#REF!,
"&lt;&gt;Complaint was fully investigated and the complaint was fully or partially upheld",#REF!,
"&lt;&gt;Complaint was fully investigated and the complaint was not upheld")</f>
        <v>#REF!</v>
      </c>
      <c r="S16" s="89"/>
    </row>
    <row r="17" spans="1:19">
      <c r="A17" s="138" t="s">
        <v>93</v>
      </c>
      <c r="B17" t="s">
        <v>170</v>
      </c>
      <c r="C17" s="58" t="s">
        <v>20</v>
      </c>
      <c r="D17" s="59" t="e">
        <f t="shared" si="1"/>
        <v>#REF!</v>
      </c>
      <c r="E17" s="59" t="e">
        <f>COUNTIFS(#REF!,"Yes",#REF!,
"Yes")
/
COUNTIFS(#REF!,"&lt;&gt;I don't know / Prefer not to say",#REF!,
"&lt;&gt;-",#REF!,
"Yes")</f>
        <v>#REF!</v>
      </c>
      <c r="F17" s="60" t="e">
        <f>COUNTIFS(#REF!,"Neutral",#REF!,
"Yes")
/
COUNTIFS(#REF!,"&lt;&gt;I don't know / Prefer not to say",#REF!,
"&lt;&gt;-",#REF!,
"Yes")</f>
        <v>#REF!</v>
      </c>
      <c r="G17" s="61" t="e">
        <f>COUNTIFS(#REF!,"No",#REF!,
"Yes")
/
COUNTIFS(#REF!,"&lt;&gt;I don't know / Prefer not to say",#REF!,
"&lt;&gt;-",#REF!,
"Yes")</f>
        <v>#REF!</v>
      </c>
      <c r="H17" s="59" t="e">
        <f>COUNTIFS(#REF!,"No",#REF!,
"Yes",#REF!,
H$1)
/
COUNTIFS(#REF!,"&lt;&gt;I don't know / Prefer not to say",#REF!,
"&lt;&gt;-",#REF!,
"Yes",#REF!,
H$1)</f>
        <v>#REF!</v>
      </c>
      <c r="I17" s="60" t="e">
        <f>COUNTIFS(#REF!,"No",#REF!,
"Yes",#REF!,
I$1)
/
COUNTIFS(#REF!,"&lt;&gt;I don't know / Prefer not to say",#REF!,
"&lt;&gt;-",#REF!,
"Yes",#REF!,
I$1)</f>
        <v>#REF!</v>
      </c>
      <c r="J17" s="60" t="e">
        <f>COUNTIFS(#REF!,"No",#REF!,
"Yes",#REF!,
J$1)
/
COUNTIFS(#REF!,"&lt;&gt;I don't know / Prefer not to say",#REF!,
"&lt;&gt;-",#REF!,
"Yes",#REF!,
J$1)</f>
        <v>#REF!</v>
      </c>
      <c r="K17" s="61" t="e">
        <f>COUNTIFS(#REF!,"No",#REF!,
"Yes",#REF!,
K$1)
/
COUNTIFS(#REF!,"&lt;&gt;I don't know / Prefer not to say",#REF!,
"&lt;&gt;-",#REF!,
"Yes",#REF!,
K$1)</f>
        <v>#REF!</v>
      </c>
      <c r="L17" s="59" t="e">
        <f>COUNTIFS(#REF!,"No",#REF!,
"Yes",#REF!,
L$1)
/
COUNTIFS(#REF!,"&lt;&gt;I don't know / Prefer not to say",#REF!,
"&lt;&gt;-",#REF!,
"Yes",#REF!,
L$1)</f>
        <v>#REF!</v>
      </c>
      <c r="M17" s="60" t="e">
        <f>COUNTIFS(#REF!,"No",#REF!,
"Yes",#REF!,
M$1)
/
COUNTIFS(#REF!,"&lt;&gt;I don't know / Prefer not to say",#REF!,
"&lt;&gt;-",#REF!,
"Yes",#REF!,
M$1)</f>
        <v>#REF!</v>
      </c>
      <c r="N17" s="60" t="s">
        <v>139</v>
      </c>
      <c r="O17" s="61" t="s">
        <v>139</v>
      </c>
      <c r="P17" s="59" t="e">
        <f>COUNTIFS(#REF!,"No",#REF!,
"Yes",#REF!,
P$1)
/
COUNTIFS(#REF!,"&lt;&gt;I don't know / Prefer not to say",#REF!,
"&lt;&gt;-",#REF!,
"Yes",#REF!,
P$1)</f>
        <v>#REF!</v>
      </c>
      <c r="Q17" s="60" t="e">
        <f>COUNTIFS(#REF!,"No",#REF!,
"Yes",#REF!,
Q$1)
/
COUNTIFS(#REF!,"&lt;&gt;I don't know / Prefer not to say",#REF!,
"&lt;&gt;-",#REF!,
"Yes",#REF!,
Q$1)</f>
        <v>#REF!</v>
      </c>
      <c r="R17" s="61" t="e">
        <f>COUNTIFS(#REF!,"No",#REF!,
"Yes",#REF!,
"&lt;&gt;Complaint was fully investigated and the complaint was fully or partially upheld",#REF!,
"&lt;&gt;Complaint was fully investigated and the complaint was not upheld")
/
COUNTIFS(#REF!,"&lt;&gt;I don't know / Prefer not to say",#REF!,
"&lt;&gt;-",#REF!,
"Yes",#REF!,
"&lt;&gt;Complaint was fully investigated and the complaint was fully or partially upheld",#REF!,
"&lt;&gt;Complaint was fully investigated and the complaint was not upheld")</f>
        <v>#REF!</v>
      </c>
      <c r="S17" s="89"/>
    </row>
    <row r="18" spans="1:19">
      <c r="A18" s="89">
        <v>3.9</v>
      </c>
      <c r="B18" s="71" t="s">
        <v>171</v>
      </c>
      <c r="C18" s="80" t="s">
        <v>19</v>
      </c>
      <c r="D18" s="77" t="e">
        <f t="shared" si="1"/>
        <v>#REF!</v>
      </c>
      <c r="E18" s="77" t="e">
        <f>COUNTIFS(#REF!,"Yes",#REF!,
"Complainant (i.e. you made a Service Complaint in writing)",#REF!,
"Yes")
/
COUNTIFS(#REF!,"&lt;&gt;I don't know / Prefer not to say",#REF!,
"&lt;&gt;-",#REF!,
"Complainant (i.e. you made a Service Complaint in writing)",#REF!,
"Yes")</f>
        <v>#REF!</v>
      </c>
      <c r="F18" s="78" t="e">
        <f>COUNTIFS(#REF!,"Neutral",#REF!,
"Complainant (i.e. you made a Service Complaint in writing)",#REF!,
"Yes")
/
COUNTIFS(#REF!,"&lt;&gt;I don't know / Prefer not to say",#REF!,
"&lt;&gt;-",#REF!,
"Complainant (i.e. you made a Service Complaint in writing)",#REF!,
"Yes")</f>
        <v>#REF!</v>
      </c>
      <c r="G18" s="79" t="e">
        <f>COUNTIFS(#REF!,"No",#REF!,
"Complainant (i.e. you made a Service Complaint in writing)",#REF!,
"Yes")
/
COUNTIFS(#REF!,"&lt;&gt;I don't know / Prefer not to say",#REF!,
"&lt;&gt;-",#REF!,
"Complainant (i.e. you made a Service Complaint in writing)",#REF!,
"Yes")</f>
        <v>#REF!</v>
      </c>
      <c r="H18" s="77" t="e">
        <f>COUNTIFS(#REF!,"No",#REF!,
"Complainant (i.e. you made a Service Complaint in writing)",#REF!,
"Yes",#REF!,
H$1)
/
COUNTIFS(#REF!,"&lt;&gt;I don't know / Prefer not to say",#REF!,
"&lt;&gt;-",#REF!,
"Complainant (i.e. you made a Service Complaint in writing)",#REF!,
"Yes",#REF!,
H$1)</f>
        <v>#REF!</v>
      </c>
      <c r="I18" s="78" t="e">
        <f>COUNTIFS(#REF!,"No",#REF!,
"Complainant (i.e. you made a Service Complaint in writing)",#REF!,
"Yes",#REF!,
I$1)
/
COUNTIFS(#REF!,"&lt;&gt;I don't know / Prefer not to say",#REF!,
"&lt;&gt;-",#REF!,
"Complainant (i.e. you made a Service Complaint in writing)",#REF!,
"Yes",#REF!,
I$1)</f>
        <v>#REF!</v>
      </c>
      <c r="J18" s="78" t="e">
        <f>COUNTIFS(#REF!,"No",#REF!,
"Complainant (i.e. you made a Service Complaint in writing)",#REF!,
"Yes",#REF!,
J$1)
/
COUNTIFS(#REF!,"&lt;&gt;I don't know / Prefer not to say",#REF!,
"&lt;&gt;-",#REF!,
"Complainant (i.e. you made a Service Complaint in writing)",#REF!,
"Yes",#REF!,
J$1)</f>
        <v>#REF!</v>
      </c>
      <c r="K18" s="79" t="e">
        <f>COUNTIFS(#REF!,"No",#REF!,
"Complainant (i.e. you made a Service Complaint in writing)",#REF!,
"Yes",#REF!,
K$1)
/
COUNTIFS(#REF!,"&lt;&gt;I don't know / Prefer not to say",#REF!,
"&lt;&gt;-",#REF!,
"Complainant (i.e. you made a Service Complaint in writing)",#REF!,
"Yes",#REF!,
K$1)</f>
        <v>#REF!</v>
      </c>
      <c r="L18" s="77" t="e">
        <f>COUNTIFS(#REF!,"No",#REF!,
"Complainant (i.e. you made a Service Complaint in writing)",#REF!,
"Yes",#REF!,
L$1)
/
COUNTIFS(#REF!,"&lt;&gt;I don't know / Prefer not to say",#REF!,
"&lt;&gt;-",#REF!,
"Complainant (i.e. you made a Service Complaint in writing)",#REF!,
"Yes",#REF!,
L$1)</f>
        <v>#REF!</v>
      </c>
      <c r="M18" s="78" t="s">
        <v>139</v>
      </c>
      <c r="N18" s="78" t="s">
        <v>139</v>
      </c>
      <c r="O18" s="79" t="s">
        <v>139</v>
      </c>
      <c r="P18" s="77" t="e">
        <f>COUNTIFS(#REF!,"No",#REF!,
"Complainant (i.e. you made a Service Complaint in writing)",#REF!,
"Yes",#REF!,
P$1)
/
COUNTIFS(#REF!,"&lt;&gt;I don't know / Prefer not to say",#REF!,
"&lt;&gt;-",#REF!,
"Complainant (i.e. you made a Service Complaint in writing)",#REF!,
"Yes",#REF!,
P$1)</f>
        <v>#REF!</v>
      </c>
      <c r="Q18" s="78" t="e">
        <f>COUNTIFS(#REF!,"No",#REF!,
"Complainant (i.e. you made a Service Complaint in writing)",#REF!,
"Yes",#REF!,
Q$1)
/
COUNTIFS(#REF!,"&lt;&gt;I don't know / Prefer not to say",#REF!,
"&lt;&gt;-",#REF!,
"Complainant (i.e. you made a Service Complaint in writing)",#REF!,
"Yes",#REF!,
Q$1)</f>
        <v>#REF!</v>
      </c>
      <c r="R18" s="79" t="e">
        <f>COUNTIFS(#REF!,"No",#REF!,
"Complainant (i.e. you made a Service Complaint in writing)",#REF!,
"Yes",#REF!,
"&lt;&gt;Complaint was fully investigated and the complaint was fully or partially upheld",#REF!,
"&lt;&gt;Complaint was fully investigated and the complaint was not upheld")
/
COUNTIFS(#REF!,"&lt;&gt;I don't know / Prefer not to say",#REF!,
"&lt;&gt;-",#REF!,
"Complainant (i.e. you made a Service Complaint in writing)",#REF!,
"Yes",#REF!,
"&lt;&gt;Complaint was fully investigated and the complaint was fully or partially upheld",#REF!,
"&lt;&gt;Complaint was fully investigated and the complaint was not upheld")</f>
        <v>#REF!</v>
      </c>
    </row>
    <row r="19" spans="1:19">
      <c r="C19" s="8"/>
      <c r="D19" s="35"/>
      <c r="E19" s="35"/>
      <c r="F19" s="34"/>
      <c r="G19" s="33"/>
      <c r="H19" s="35"/>
      <c r="I19" s="34"/>
      <c r="J19" s="34"/>
      <c r="K19" s="33"/>
      <c r="L19" s="35"/>
      <c r="M19" s="34"/>
      <c r="N19" s="34"/>
      <c r="O19" s="33"/>
      <c r="P19" s="35"/>
      <c r="Q19" s="34"/>
      <c r="R19" s="33"/>
    </row>
    <row r="20" spans="1:19">
      <c r="C20" s="55"/>
      <c r="D20" s="56"/>
      <c r="E20" s="56"/>
      <c r="F20" s="6"/>
      <c r="G20" s="57"/>
      <c r="H20" s="56"/>
      <c r="I20" s="6"/>
      <c r="J20" s="6"/>
      <c r="K20" s="57"/>
      <c r="L20" s="56"/>
      <c r="M20" s="6"/>
      <c r="N20" s="6"/>
      <c r="O20" s="57"/>
      <c r="P20" s="56"/>
      <c r="Q20" s="6"/>
      <c r="R20" s="57"/>
    </row>
    <row r="21" spans="1:19" s="1" customFormat="1">
      <c r="A21" s="140">
        <v>3.15</v>
      </c>
      <c r="B21" t="s">
        <v>172</v>
      </c>
      <c r="C21" s="134" t="s">
        <v>15</v>
      </c>
      <c r="D21" s="62" t="e">
        <f>SUM(E21:G21)</f>
        <v>#REF!</v>
      </c>
      <c r="E21" s="62" t="e">
        <f>COUNTIFS(#REF!,"Yes",#REF!,
"Yes")
/
COUNTIFS(#REF!,"&lt;&gt;I don't think this applies to me/ I prefer not to say",#REF!,
"&lt;&gt;-",#REF!,
"Yes")</f>
        <v>#REF!</v>
      </c>
      <c r="F21" s="63" t="e">
        <f>COUNTIFS(#REF!,"Neutral",#REF!,
"Yes")
/
COUNTIFS(#REF!,"&lt;&gt;I don't think this applies to me/ I prefer not to say",#REF!,
"&lt;&gt;-",#REF!,
"Yes")</f>
        <v>#REF!</v>
      </c>
      <c r="G21" s="32" t="e">
        <f>COUNTIFS(#REF!,"No",#REF!,
"Yes")
/
COUNTIFS(#REF!,"&lt;&gt;I don't think this applies to me/ I prefer not to say",#REF!,
"&lt;&gt;-",#REF!,
"Yes")</f>
        <v>#REF!</v>
      </c>
      <c r="H21" s="62" t="e">
        <f>COUNTIFS(#REF!,"No",#REF!,
"Yes",#REF!,
H$1)
/
COUNTIFS(#REF!,"&lt;&gt;I don't think this applies to me/ I prefer not to say",#REF!,
"&lt;&gt;-",#REF!,
"Yes",#REF!,
H$1)</f>
        <v>#REF!</v>
      </c>
      <c r="I21" s="63" t="e">
        <f>COUNTIFS(#REF!,"No",#REF!,
"Yes",#REF!,
I$1)
/
COUNTIFS(#REF!,"&lt;&gt;I don't think this applies to me/ I prefer not to say",#REF!,
"&lt;&gt;-",#REF!,
"Yes",#REF!,
I$1)</f>
        <v>#REF!</v>
      </c>
      <c r="J21" s="63" t="e">
        <f>COUNTIFS(#REF!,"No",#REF!,
"Yes",#REF!,
J$1)
/
COUNTIFS(#REF!,"&lt;&gt;I don't think this applies to me/ I prefer not to say",#REF!,
"&lt;&gt;-",#REF!,
"Yes",#REF!,
J$1)</f>
        <v>#REF!</v>
      </c>
      <c r="K21" s="32" t="e">
        <f>COUNTIFS(#REF!,"No",#REF!,
"Yes",#REF!,
K$1)
/
COUNTIFS(#REF!,"&lt;&gt;I don't think this applies to me/ I prefer not to say",#REF!,
"&lt;&gt;-",#REF!,
"Yes",#REF!,
K$1)</f>
        <v>#REF!</v>
      </c>
      <c r="L21" s="62" t="e">
        <f>COUNTIFS(#REF!,"No",#REF!,
"Yes",#REF!,
L$1)
/
COUNTIFS(#REF!,"&lt;&gt;I don't think this applies to me/ I prefer not to say",#REF!,
"&lt;&gt;-",#REF!,
"Yes",#REF!,
L$1)</f>
        <v>#REF!</v>
      </c>
      <c r="M21" s="63" t="e">
        <f>COUNTIFS(#REF!,"No",#REF!,
"Yes",#REF!,
M$1)
/
COUNTIFS(#REF!,"&lt;&gt;I don't think this applies to me/ I prefer not to say",#REF!,
"&lt;&gt;-",#REF!,
"Yes",#REF!,
M$1)</f>
        <v>#REF!</v>
      </c>
      <c r="N21" s="63" t="e">
        <f>COUNTIFS(#REF!,"No",#REF!,
"Yes",#REF!,
N$1)
/
COUNTIFS(#REF!,"&lt;&gt;I don't think this applies to me/ I prefer not to say",#REF!,
"&lt;&gt;-",#REF!,
"Yes",#REF!,
N$1)</f>
        <v>#REF!</v>
      </c>
      <c r="O21" s="32" t="e">
        <f>COUNTIFS(#REF!,"No",#REF!,
"Yes",#REF!,
O$1)
/
COUNTIFS(#REF!,"&lt;&gt;I don't think this applies to me/ I prefer not to say",#REF!,
"&lt;&gt;-",#REF!,
"Yes",#REF!,
O$1)</f>
        <v>#REF!</v>
      </c>
      <c r="P21" s="62" t="e">
        <f>COUNTIFS(#REF!,"No",#REF!,
"Yes",#REF!,
P$1)
/
COUNTIFS(#REF!,"&lt;&gt;I don't think this applies to me/ I prefer not to say",#REF!,
"&lt;&gt;-",#REF!,
"Yes",#REF!,
P$1)</f>
        <v>#REF!</v>
      </c>
      <c r="Q21" s="63" t="e">
        <f>COUNTIFS(#REF!,"No",#REF!,
"Yes",#REF!,
Q$1)
/
COUNTIFS(#REF!,"&lt;&gt;I don't think this applies to me/ I prefer not to say",#REF!,
"&lt;&gt;-",#REF!,
"Yes",#REF!,
Q$1)</f>
        <v>#REF!</v>
      </c>
      <c r="R21" s="32" t="e">
        <f>COUNTIFS(#REF!,"No",#REF!,
"Yes",#REF!,
"&lt;&gt;Complaint was fully investigated and the complaint was fully or partially upheld",#REF!,
"&lt;&gt;Complaint was fully investigated and the complaint was not upheld")
/
COUNTIFS(#REF!,"&lt;&gt;I don't think this applies to me/ I prefer not to say",#REF!,
"&lt;&gt;-",#REF!,
"Yes",#REF!,
"&lt;&gt;Complaint was fully investigated and the complaint was fully or partially upheld",#REF!,
"&lt;&gt;Complaint was fully investigated and the complaint was not upheld")</f>
        <v>#REF!</v>
      </c>
    </row>
    <row r="22" spans="1:19">
      <c r="A22" s="89">
        <v>3.14</v>
      </c>
      <c r="B22" t="s">
        <v>173</v>
      </c>
      <c r="C22" s="31" t="s">
        <v>14</v>
      </c>
      <c r="D22" s="62" t="e">
        <f>SUM(E22:G22)</f>
        <v>#REF!</v>
      </c>
      <c r="E22" s="62" t="e">
        <f>COUNTIFS(#REF!,"Yes",#REF!,
"Yes")
/
COUNTIFS(#REF!,"&lt;&gt;I don't know/ I prefer not to say",#REF!,
"&lt;&gt;-",#REF!,
"Yes")</f>
        <v>#REF!</v>
      </c>
      <c r="F22" s="63" t="e">
        <f>COUNTIFS(#REF!,"Neutral",#REF!,
"Yes")
/
COUNTIFS(#REF!,"&lt;&gt;I don't know/ I prefer not to say",#REF!,
"&lt;&gt;-",#REF!,
"Yes")</f>
        <v>#REF!</v>
      </c>
      <c r="G22" s="32" t="e">
        <f>COUNTIFS(#REF!,"No",#REF!,
"Yes")
/
COUNTIFS(#REF!,"&lt;&gt;I don't know/ I prefer not to say",#REF!,
"&lt;&gt;-",#REF!,
"Yes")</f>
        <v>#REF!</v>
      </c>
      <c r="H22" s="62" t="e">
        <f>COUNTIFS(#REF!,"No",#REF!,
"Yes",#REF!,
H$1)
/
COUNTIFS(#REF!,"&lt;&gt;I don't know/ I prefer not to say",#REF!,
"&lt;&gt;-",#REF!,
"Yes",#REF!,
H$1)</f>
        <v>#REF!</v>
      </c>
      <c r="I22" s="63" t="e">
        <f>COUNTIFS(#REF!,"No",#REF!,
"Yes",#REF!,
I$1)
/
COUNTIFS(#REF!,"&lt;&gt;I don't know/ I prefer not to say",#REF!,
"&lt;&gt;-",#REF!,
"Yes",#REF!,
I$1)</f>
        <v>#REF!</v>
      </c>
      <c r="J22" s="63" t="e">
        <f>COUNTIFS(#REF!,"No",#REF!,
"Yes",#REF!,
J$1)
/
COUNTIFS(#REF!,"&lt;&gt;I don't know/ I prefer not to say",#REF!,
"&lt;&gt;-",#REF!,
"Yes",#REF!,
J$1)</f>
        <v>#REF!</v>
      </c>
      <c r="K22" s="32" t="e">
        <f>COUNTIFS(#REF!,"No",#REF!,
"Yes",#REF!,
K$1)
/
COUNTIFS(#REF!,"&lt;&gt;I don't know/ I prefer not to say",#REF!,
"&lt;&gt;-",#REF!,
"Yes",#REF!,
K$1)</f>
        <v>#REF!</v>
      </c>
      <c r="L22" s="62" t="e">
        <f>COUNTIFS(#REF!,"No",#REF!,
"Yes",#REF!,
L$1)
/
COUNTIFS(#REF!,"&lt;&gt;I don't know/ I prefer not to say",#REF!,
"&lt;&gt;-",#REF!,
"Yes",#REF!,
L$1)</f>
        <v>#REF!</v>
      </c>
      <c r="M22" s="63" t="e">
        <f>COUNTIFS(#REF!,"No",#REF!,
"Yes",#REF!,
M$1)
/
COUNTIFS(#REF!,"&lt;&gt;I don't know/ I prefer not to say",#REF!,
"&lt;&gt;-",#REF!,
"Yes",#REF!,
M$1)</f>
        <v>#REF!</v>
      </c>
      <c r="N22" s="63" t="e">
        <f>COUNTIFS(#REF!,"No",#REF!,
"Yes",#REF!,
N$1)
/
COUNTIFS(#REF!,"&lt;&gt;I don't know/ I prefer not to say",#REF!,
"&lt;&gt;-",#REF!,
"Yes",#REF!,
N$1)</f>
        <v>#REF!</v>
      </c>
      <c r="O22" s="32" t="e">
        <f>COUNTIFS(#REF!,"No",#REF!,
"Yes",#REF!,
O$1)
/
COUNTIFS(#REF!,"&lt;&gt;I don't know/ I prefer not to say",#REF!,
"&lt;&gt;-",#REF!,
"Yes",#REF!,
O$1)</f>
        <v>#REF!</v>
      </c>
      <c r="P22" s="62" t="e">
        <f>COUNTIFS(#REF!,"No",#REF!,
"Yes",#REF!,
P$1)
/
COUNTIFS(#REF!,"&lt;&gt;I don't know/ I prefer not to say",#REF!,
"&lt;&gt;-",#REF!,
"Yes",#REF!,
P$1)</f>
        <v>#REF!</v>
      </c>
      <c r="Q22" s="63" t="e">
        <f>COUNTIFS(#REF!,"No",#REF!,
"Yes",#REF!,
Q$1)
/
COUNTIFS(#REF!,"&lt;&gt;I don't know/ I prefer not to say",#REF!,
"&lt;&gt;-",#REF!,
"Yes",#REF!,
Q$1)</f>
        <v>#REF!</v>
      </c>
      <c r="R22" s="32" t="e">
        <f>COUNTIFS(#REF!,"No",#REF!,
"Yes",#REF!,
"&lt;&gt;Complaint was fully investigated and the complaint was fully or partially upheld",#REF!,
"&lt;&gt;Complaint was fully investigated and the complaint was not upheld")
/
COUNTIFS(#REF!,"&lt;&gt;I don't know/ I prefer not to say",#REF!,
"&lt;&gt;-",#REF!,
"Yes",#REF!,
"&lt;&gt;Complaint was fully investigated and the complaint was fully or partially upheld",#REF!,
"&lt;&gt;Complaint was fully investigated and the complaint was not upheld")</f>
        <v>#REF!</v>
      </c>
    </row>
    <row r="23" spans="1:19">
      <c r="A23" s="89">
        <v>3.8</v>
      </c>
      <c r="B23" t="s">
        <v>174</v>
      </c>
      <c r="C23" s="31" t="s">
        <v>13</v>
      </c>
      <c r="D23" s="62" t="e">
        <f>SUM(E23:G23)</f>
        <v>#REF!</v>
      </c>
      <c r="E23" s="62" t="e">
        <f>COUNTIFS(#REF!,"Yes",#REF!,
"Yes")
/
COUNTIFS(#REF!,"&lt;&gt;I prefer not to say",#REF!,
"&lt;&gt;-",#REF!,
"Yes")</f>
        <v>#REF!</v>
      </c>
      <c r="F23" s="63" t="e">
        <f>COUNTIFS(#REF!,"Neutral",#REF!,
"Yes")
/
COUNTIFS(#REF!,"&lt;&gt;I prefer not to say",#REF!,
"&lt;&gt;-",#REF!,
"Yes")</f>
        <v>#REF!</v>
      </c>
      <c r="G23" s="32" t="e">
        <f>COUNTIFS(#REF!,"No",#REF!,
"Yes")
/
COUNTIFS(#REF!,"&lt;&gt;I prefer not to say",#REF!,
"&lt;&gt;-",#REF!,
"Yes")</f>
        <v>#REF!</v>
      </c>
      <c r="H23" s="62" t="e">
        <f>COUNTIFS(#REF!,"No",#REF!,
"Yes",#REF!,
H$1)
/
COUNTIFS(#REF!,"&lt;&gt;I prefer not to say",#REF!,
"&lt;&gt;-",#REF!,
"Yes",#REF!,
H$1)</f>
        <v>#REF!</v>
      </c>
      <c r="I23" s="63" t="e">
        <f>COUNTIFS(#REF!,"No",#REF!,
"Yes",#REF!,
I$1)
/
COUNTIFS(#REF!,"&lt;&gt;I prefer not to say",#REF!,
"&lt;&gt;-",#REF!,
"Yes",#REF!,
I$1)</f>
        <v>#REF!</v>
      </c>
      <c r="J23" s="63" t="e">
        <f>COUNTIFS(#REF!,"No",#REF!,
"Yes",#REF!,
J$1)
/
COUNTIFS(#REF!,"&lt;&gt;I prefer not to say",#REF!,
"&lt;&gt;-",#REF!,
"Yes",#REF!,
J$1)</f>
        <v>#REF!</v>
      </c>
      <c r="K23" s="32" t="e">
        <f>COUNTIFS(#REF!,"No",#REF!,
"Yes",#REF!,
K$1)
/
COUNTIFS(#REF!,"&lt;&gt;I prefer not to say",#REF!,
"&lt;&gt;-",#REF!,
"Yes",#REF!,
K$1)</f>
        <v>#REF!</v>
      </c>
      <c r="L23" s="62" t="e">
        <f>COUNTIFS(#REF!,"No",#REF!,
"Yes",#REF!,
L$1)
/
COUNTIFS(#REF!,"&lt;&gt;I prefer not to say",#REF!,
"&lt;&gt;-",#REF!,
"Yes",#REF!,
L$1)</f>
        <v>#REF!</v>
      </c>
      <c r="M23" s="63" t="e">
        <f>COUNTIFS(#REF!,"No",#REF!,
"Yes",#REF!,
M$1)
/
COUNTIFS(#REF!,"&lt;&gt;I prefer not to say",#REF!,
"&lt;&gt;-",#REF!,
"Yes",#REF!,
M$1)</f>
        <v>#REF!</v>
      </c>
      <c r="N23" s="63" t="e">
        <f>COUNTIFS(#REF!,"No",#REF!,
"Yes",#REF!,
N$1)
/
COUNTIFS(#REF!,"&lt;&gt;I prefer not to say",#REF!,
"&lt;&gt;-",#REF!,
"Yes",#REF!,
N$1)</f>
        <v>#REF!</v>
      </c>
      <c r="O23" s="32" t="e">
        <f>COUNTIFS(#REF!,"No",#REF!,
"Yes",#REF!,
O$1)
/
COUNTIFS(#REF!,"&lt;&gt;I prefer not to say",#REF!,
"&lt;&gt;-",#REF!,
"Yes",#REF!,
O$1)</f>
        <v>#REF!</v>
      </c>
      <c r="P23" s="62" t="e">
        <f>COUNTIFS(#REF!,"No",#REF!,
"Yes",#REF!,
P$1)
/
COUNTIFS(#REF!,"&lt;&gt;I prefer not to say",#REF!,
"&lt;&gt;-",#REF!,
"Yes",#REF!,
P$1)</f>
        <v>#REF!</v>
      </c>
      <c r="Q23" s="63" t="e">
        <f>COUNTIFS(#REF!,"No",#REF!,
"Yes",#REF!,
Q$1)
/
COUNTIFS(#REF!,"&lt;&gt;I prefer not to say",#REF!,
"&lt;&gt;-",#REF!,
"Yes",#REF!,
Q$1)</f>
        <v>#REF!</v>
      </c>
      <c r="R23" s="32" t="e">
        <f>COUNTIFS(#REF!,"No",#REF!,
"Yes",#REF!,
"&lt;&gt;Complaint was fully investigated and the complaint was fully or partially upheld",#REF!,
"&lt;&gt;Complaint was fully investigated and the complaint was not upheld")
/
COUNTIFS(#REF!,"&lt;&gt;I prefer not to say",#REF!,
"&lt;&gt;-",#REF!,
"Yes",#REF!,
"&lt;&gt;Complaint was fully investigated and the complaint was fully or partially upheld",#REF!,
"&lt;&gt;Complaint was fully investigated and the complaint was not upheld")</f>
        <v>#REF!</v>
      </c>
    </row>
    <row r="24" spans="1:19">
      <c r="C24" s="8"/>
      <c r="D24" s="35"/>
      <c r="E24" s="35"/>
      <c r="F24" s="34"/>
      <c r="G24" s="33"/>
      <c r="H24" s="35"/>
      <c r="I24" s="34"/>
      <c r="J24" s="34"/>
      <c r="K24" s="33"/>
      <c r="L24" s="35"/>
      <c r="M24" s="34"/>
      <c r="N24" s="34"/>
      <c r="O24" s="33"/>
      <c r="P24" s="142"/>
      <c r="Q24" s="34"/>
      <c r="R24" s="33"/>
    </row>
    <row r="25" spans="1:19">
      <c r="C25" s="55"/>
      <c r="D25" s="56"/>
      <c r="E25" s="56"/>
      <c r="F25" s="6"/>
      <c r="G25" s="57"/>
      <c r="H25" s="56"/>
      <c r="I25" s="6"/>
      <c r="J25" s="6"/>
      <c r="K25" s="57"/>
      <c r="L25" s="56"/>
      <c r="M25" s="6"/>
      <c r="N25" s="6"/>
      <c r="O25" s="57"/>
      <c r="P25" s="56"/>
      <c r="Q25" s="6"/>
      <c r="R25" s="57"/>
    </row>
    <row r="26" spans="1:19">
      <c r="A26" s="89">
        <v>3.17</v>
      </c>
      <c r="B26" t="s">
        <v>175</v>
      </c>
      <c r="C26" s="135" t="s">
        <v>32</v>
      </c>
      <c r="D26" s="64" t="e">
        <f>SUM(E26:G26)</f>
        <v>#REF!</v>
      </c>
      <c r="E26" s="64" t="e">
        <f>COUNTIFS(#REF!,"Yes",#REF!,
"Yes")
/
COUNTIFS(#REF!,"&lt;&gt;I don't know / Prefer not to say",#REF!,
"&lt;&gt;-",#REF!,
"Yes")</f>
        <v>#REF!</v>
      </c>
      <c r="F26" s="65" t="e">
        <f>COUNTIFS(#REF!,"Neutral",#REF!,
"Yes")
/
COUNTIFS(#REF!,"&lt;&gt;I don't know / Prefer not to say",#REF!,
"&lt;&gt;-",#REF!,
"Yes")</f>
        <v>#REF!</v>
      </c>
      <c r="G26" s="66" t="e">
        <f>COUNTIFS(#REF!,"No",#REF!,
"Yes")
/
COUNTIFS(#REF!,"&lt;&gt;I don't know / Prefer not to say",#REF!,
"&lt;&gt;-",#REF!,
"Yes")</f>
        <v>#REF!</v>
      </c>
      <c r="H26" s="64" t="e">
        <f>COUNTIFS(#REF!,"No",#REF!,
"Yes",#REF!,
H$1)
/
COUNTIFS(#REF!,"&lt;&gt;I don't know / Prefer not to say",#REF!,
"&lt;&gt;-",#REF!,
"Yes",#REF!,
H$1)</f>
        <v>#REF!</v>
      </c>
      <c r="I26" s="65" t="e">
        <f>COUNTIFS(#REF!,"No",#REF!,
"Yes",#REF!,
I$1)
/
COUNTIFS(#REF!,"&lt;&gt;I don't know / Prefer not to say",#REF!,
"&lt;&gt;-",#REF!,
"Yes",#REF!,
I$1)</f>
        <v>#REF!</v>
      </c>
      <c r="J26" s="65" t="e">
        <f>COUNTIFS(#REF!,"No",#REF!,
"Yes",#REF!,
J$1)
/
COUNTIFS(#REF!,"&lt;&gt;I don't know / Prefer not to say",#REF!,
"&lt;&gt;-",#REF!,
"Yes",#REF!,
J$1)</f>
        <v>#REF!</v>
      </c>
      <c r="K26" s="66" t="e">
        <f>COUNTIFS(#REF!,"No",#REF!,
"Yes",#REF!,
K$1)
/
COUNTIFS(#REF!,"&lt;&gt;I don't know / Prefer not to say",#REF!,
"&lt;&gt;-",#REF!,
"Yes",#REF!,
K$1)</f>
        <v>#REF!</v>
      </c>
      <c r="L26" s="64" t="e">
        <f>COUNTIFS(#REF!,"No",#REF!,
"Yes",#REF!,
L$1)
/
COUNTIFS(#REF!,"&lt;&gt;I don't know / Prefer not to say",#REF!,
"&lt;&gt;-",#REF!,
"Yes",#REF!,
L$1)</f>
        <v>#REF!</v>
      </c>
      <c r="M26" s="65" t="e">
        <f>COUNTIFS(#REF!,"No",#REF!,
"Yes",#REF!,
M$1)
/
COUNTIFS(#REF!,"&lt;&gt;I don't know / Prefer not to say",#REF!,
"&lt;&gt;-",#REF!,
"Yes",#REF!,
M$1)</f>
        <v>#REF!</v>
      </c>
      <c r="N26" s="65" t="s">
        <v>139</v>
      </c>
      <c r="O26" s="66" t="s">
        <v>139</v>
      </c>
      <c r="P26" s="64" t="e">
        <f>COUNTIFS(#REF!,"No",#REF!,
"Yes",#REF!,
P$1)
/
COUNTIFS(#REF!,"&lt;&gt;I don't know / Prefer not to say",#REF!,
"&lt;&gt;-",#REF!,
"Yes",#REF!,
P$1)</f>
        <v>#REF!</v>
      </c>
      <c r="Q26" s="65" t="e">
        <f>COUNTIFS(#REF!,"No",#REF!,
"Yes",#REF!,
Q$1)
/
COUNTIFS(#REF!,"&lt;&gt;I don't know / Prefer not to say",#REF!,
"&lt;&gt;-",#REF!,
"Yes",#REF!,
Q$1)</f>
        <v>#REF!</v>
      </c>
      <c r="R26" s="66" t="e">
        <f>COUNTIFS(#REF!,"No",#REF!,
"Yes",#REF!,
"&lt;&gt;Complaint was fully investigated and the complaint was fully or partially upheld",#REF!,
"&lt;&gt;Complaint was fully investigated and the complaint was not upheld")
/
COUNTIFS(#REF!,"&lt;&gt;I don't know / Prefer not to say",#REF!,
"&lt;&gt;-",#REF!,
"Yes",#REF!,
"&lt;&gt;Complaint was fully investigated and the complaint was fully or partially upheld",#REF!,
"&lt;&gt;Complaint was fully investigated and the complaint was not upheld")</f>
        <v>#REF!</v>
      </c>
    </row>
    <row r="27" spans="1:19" s="1" customFormat="1">
      <c r="A27" s="140">
        <v>3.16</v>
      </c>
      <c r="B27" t="s">
        <v>176</v>
      </c>
      <c r="C27" s="135" t="s">
        <v>33</v>
      </c>
      <c r="D27" s="64" t="e">
        <f>SUM(E27:G27)</f>
        <v>#REF!</v>
      </c>
      <c r="E27" s="64" t="e">
        <f>COUNTIFS(#REF!,"Satisfied",#REF!,
"Yes")
/
COUNTIFS(#REF!,"&lt;&gt;Prefer not to say",#REF!,
"&lt;&gt;-",#REF!,
"Yes")</f>
        <v>#REF!</v>
      </c>
      <c r="F27" s="100" t="e">
        <f>COUNTIFS(#REF!,"Neutral",#REF!,
"Yes")
/
COUNTIFS(#REF!,"&lt;&gt;Prefer not to say",#REF!,
"&lt;&gt;-",#REF!,
"Yes")</f>
        <v>#REF!</v>
      </c>
      <c r="G27" s="66" t="e">
        <f>COUNTIFS(#REF!,"Dissatisfied",#REF!,
"Yes")
/
COUNTIFS(#REF!,"&lt;&gt;Prefer not to say",#REF!,
"&lt;&gt;-",#REF!,
"Yes")</f>
        <v>#REF!</v>
      </c>
      <c r="H27" s="64" t="e">
        <f>COUNTIFS(#REF!,"Dissatisfied",#REF!,
"Yes",#REF!,
H$1)
/
COUNTIFS(#REF!,"&lt;&gt;Prefer not to say",#REF!,
"&lt;&gt;-",#REF!,
"Yes",#REF!,
H$1)</f>
        <v>#REF!</v>
      </c>
      <c r="I27" s="65" t="e">
        <f>COUNTIFS(#REF!,"Dissatisfied",#REF!,
"Yes",#REF!,
I$1)
/
COUNTIFS(#REF!,"&lt;&gt;Prefer not to say",#REF!,
"&lt;&gt;-",#REF!,
"Yes",#REF!,
I$1)</f>
        <v>#REF!</v>
      </c>
      <c r="J27" s="65" t="e">
        <f>COUNTIFS(#REF!,"Dissatisfied",#REF!,
"Yes",#REF!,
J$1)
/
COUNTIFS(#REF!,"&lt;&gt;Prefer not to say",#REF!,
"&lt;&gt;-",#REF!,
"Yes",#REF!,
J$1)</f>
        <v>#REF!</v>
      </c>
      <c r="K27" s="66" t="e">
        <f>COUNTIFS(#REF!,"Dissatisfied",#REF!,
"Yes",#REF!,
K$1)
/
COUNTIFS(#REF!,"&lt;&gt;Prefer not to say",#REF!,
"&lt;&gt;-",#REF!,
"Yes",#REF!,
K$1)</f>
        <v>#REF!</v>
      </c>
      <c r="L27" s="64" t="e">
        <f>COUNTIFS(#REF!,"Dissatisfied",#REF!,
"Yes",#REF!,
L$1)
/
COUNTIFS(#REF!,"&lt;&gt;Prefer not to say",#REF!,
"&lt;&gt;-",#REF!,
"Yes",#REF!,
L$1)</f>
        <v>#REF!</v>
      </c>
      <c r="M27" s="65" t="e">
        <f>COUNTIFS(#REF!,"Dissatisfied",#REF!,
"Yes",#REF!,
M$1)
/
COUNTIFS(#REF!,"&lt;&gt;Prefer not to say",#REF!,
"&lt;&gt;-",#REF!,
"Yes",#REF!,
M$1)</f>
        <v>#REF!</v>
      </c>
      <c r="N27" s="65" t="s">
        <v>139</v>
      </c>
      <c r="O27" s="66" t="s">
        <v>139</v>
      </c>
      <c r="P27" s="64" t="e">
        <f>COUNTIFS(#REF!,"Dissatisfied",#REF!,
"Yes",#REF!,
P$1)
/
COUNTIFS(#REF!,"&lt;&gt;Prefer not to say",#REF!,
"&lt;&gt;-",#REF!,
"Yes",#REF!,
P$1)</f>
        <v>#REF!</v>
      </c>
      <c r="Q27" s="65" t="e">
        <f>COUNTIFS(#REF!,"Dissatisfied",#REF!,
"Yes",#REF!,
Q$1)
/
COUNTIFS(#REF!,"&lt;&gt;Prefer not to say",#REF!,
"&lt;&gt;-",#REF!,
"Yes",#REF!,
Q$1)</f>
        <v>#REF!</v>
      </c>
      <c r="R27" s="66" t="e">
        <f>COUNTIFS(#REF!,"Dissatisfied",#REF!,
"Yes",#REF!,
"&lt;&gt;Complaint was fully investigated and the complaint was fully or partially upheld",#REF!,
"&lt;&gt;Complaint was fully investigated and the complaint was not upheld")
/
COUNTIFS(#REF!,"&lt;&gt;Prefer not to say",#REF!,
"&lt;&gt;-",#REF!,
"Yes",#REF!,
"&lt;&gt;Complaint was fully investigated and the complaint was fully or partially upheld",#REF!,
"&lt;&gt;Complaint was fully investigated and the complaint was not upheld")</f>
        <v>#REF!</v>
      </c>
    </row>
    <row r="28" spans="1:19">
      <c r="A28" s="89">
        <v>3.6</v>
      </c>
      <c r="B28" t="s">
        <v>177</v>
      </c>
      <c r="C28" s="135" t="s">
        <v>29</v>
      </c>
      <c r="D28" s="64" t="e">
        <f>SUM(E28:G28)</f>
        <v>#REF!</v>
      </c>
      <c r="E28" s="64" t="e">
        <f>COUNTIFS(#REF!,"They supported me",#REF!,
"Yes")
/
COUNTIFS(#REF!,"&lt;&gt;I don't know / Prefer not to say",#REF!,
"&lt;&gt;They didn't know",#REF!,
"&lt;&gt;-",#REF!,
"Yes")</f>
        <v>#REF!</v>
      </c>
      <c r="F28" s="100" t="e">
        <f>COUNTIFS(#REF!,"There was no reaction",#REF!,
"Yes")
/
COUNTIFS(#REF!,"&lt;&gt;I don't know / Prefer not to say",#REF!,
"&lt;&gt;They didn't know",#REF!,
"&lt;&gt;-",#REF!,
"Yes")</f>
        <v>#REF!</v>
      </c>
      <c r="G28" s="66" t="e">
        <f>COUNTIFS(#REF!,"They were disappointed with me",#REF!,
"Yes")
/
COUNTIFS(#REF!,"&lt;&gt;I don't know / Prefer not to say",#REF!,
"&lt;&gt;They didn't know",#REF!,
"&lt;&gt;-",#REF!,
"Yes")</f>
        <v>#REF!</v>
      </c>
      <c r="H28" s="64" t="e">
        <f>COUNTIFS(#REF!,"They were disappointed with me",#REF!,
"Yes",#REF!,
H$1)
/
COUNTIFS(#REF!,"&lt;&gt;I don't know / Prefer not to say",#REF!,
"&lt;&gt;They didn't know",#REF!,
"&lt;&gt;-",#REF!,
"Yes",#REF!,
H$1)</f>
        <v>#REF!</v>
      </c>
      <c r="I28" s="65" t="e">
        <f>COUNTIFS(#REF!,"They were disappointed with me",#REF!,
"Yes",#REF!,
I$1)
/
COUNTIFS(#REF!,"&lt;&gt;I don't know / Prefer not to say",#REF!,
"&lt;&gt;They didn't know",#REF!,
"&lt;&gt;-",#REF!,
"Yes",#REF!,
I$1)</f>
        <v>#REF!</v>
      </c>
      <c r="J28" s="65" t="e">
        <f>COUNTIFS(#REF!,"They were disappointed with me",#REF!,
"Yes",#REF!,
J$1)
/
COUNTIFS(#REF!,"&lt;&gt;I don't know / Prefer not to say",#REF!,
"&lt;&gt;They didn't know",#REF!,
"&lt;&gt;-",#REF!,
"Yes",#REF!,
J$1)</f>
        <v>#REF!</v>
      </c>
      <c r="K28" s="66" t="e">
        <f>COUNTIFS(#REF!,"They were disappointed with me",#REF!,
"Yes",#REF!,
K$1)
/
COUNTIFS(#REF!,"&lt;&gt;I don't know / Prefer not to say",#REF!,
"&lt;&gt;They didn't know",#REF!,
"&lt;&gt;-",#REF!,
"Yes",#REF!,
K$1)</f>
        <v>#REF!</v>
      </c>
      <c r="L28" s="99" t="e">
        <f>COUNTIFS(#REF!,"They were disappointed with me",#REF!,
"Yes",#REF!,
L$1)
/
COUNTIFS(#REF!,"&lt;&gt;I don't know / Prefer not to say",#REF!,
"&lt;&gt;They didn't know",#REF!,
"&lt;&gt;-",#REF!,
"Yes",#REF!,
L$1)</f>
        <v>#REF!</v>
      </c>
      <c r="M28" s="65" t="e">
        <f>COUNTIFS(#REF!,"They were disappointed with me",#REF!,
"Yes",#REF!,
M$1)
/
COUNTIFS(#REF!,"&lt;&gt;I don't know / Prefer not to say",#REF!,
"&lt;&gt;They didn't know",#REF!,
"&lt;&gt;-",#REF!,
"Yes",#REF!,
M$1)</f>
        <v>#REF!</v>
      </c>
      <c r="N28" s="65" t="s">
        <v>139</v>
      </c>
      <c r="O28" s="66" t="s">
        <v>139</v>
      </c>
      <c r="P28" s="64" t="e">
        <f>COUNTIFS(#REF!,"They were disappointed with me",#REF!,
"Yes",#REF!,
P$1)
/
COUNTIFS(#REF!,"&lt;&gt;I don't know / Prefer not to say",#REF!,
"&lt;&gt;They didn't know",#REF!,
"&lt;&gt;-",#REF!,
"Yes",#REF!,
P$1)</f>
        <v>#REF!</v>
      </c>
      <c r="Q28" s="65" t="e">
        <f>COUNTIFS(#REF!,"They were disappointed with me",#REF!,
"Yes",#REF!,
Q$1)
/
COUNTIFS(#REF!,"&lt;&gt;I don't know / Prefer not to say",#REF!,
"&lt;&gt;They didn't know",#REF!,
"&lt;&gt;-",#REF!,
"Yes",#REF!,
Q$1)</f>
        <v>#REF!</v>
      </c>
      <c r="R28" s="66" t="e">
        <f>COUNTIFS(#REF!,"They were disappointed with me",#REF!,
"Yes",#REF!,
"&lt;&gt;Complaint was fully investigated and the complaint was fully or partially upheld",#REF!,
"&lt;&gt;Complaint was fully investigated and the complaint was not upheld")
/
COUNTIFS(#REF!,"&lt;&gt;I don't know / Prefer not to say",#REF!,
"&lt;&gt;They didn't know",#REF!,
"&lt;&gt;-",#REF!,
"Yes",#REF!,
"&lt;&gt;Complaint was fully investigated and the complaint was fully or partially upheld",#REF!,
"&lt;&gt;Complaint was fully investigated and the complaint was not upheld")</f>
        <v>#REF!</v>
      </c>
    </row>
    <row r="29" spans="1:19">
      <c r="A29" s="89">
        <v>3.18</v>
      </c>
      <c r="B29" t="s">
        <v>178</v>
      </c>
      <c r="C29" s="135" t="s">
        <v>27</v>
      </c>
      <c r="D29" s="64" t="e">
        <f>SUM(E29:G29)</f>
        <v>#REF!</v>
      </c>
      <c r="E29" s="64" t="e">
        <f>COUNTIFS(#REF!,"No",#REF!,
"Yes")
/
COUNTIFS(#REF!,"&lt;&gt;I don't know / Prefer not to say",#REF!,
"&lt;&gt;-",#REF!,
"Yes")</f>
        <v>#REF!</v>
      </c>
      <c r="F29" s="65" t="e">
        <f>COUNTIFS(#REF!,"Neutral",#REF!,
"Yes")
/
COUNTIFS(#REF!,"&lt;&gt;I don't know / Prefer not to say",#REF!,
"&lt;&gt;-",#REF!,
"Yes")</f>
        <v>#REF!</v>
      </c>
      <c r="G29" s="66" t="e">
        <f>COUNTIFS(#REF!,"Yes",#REF!,
"Yes")
/
COUNTIFS(#REF!,"&lt;&gt;I don't know / Prefer not to say",#REF!,
"&lt;&gt;-",#REF!,
"Yes")</f>
        <v>#REF!</v>
      </c>
      <c r="H29" s="64" t="e">
        <f>COUNTIFS(#REF!,"Yes",#REF!,
"Yes",#REF!,
H$1)
/
COUNTIFS(#REF!,"&lt;&gt;I don't know / Prefer not to say",#REF!,
"&lt;&gt;-",#REF!,
"Yes",#REF!,
H$1)</f>
        <v>#REF!</v>
      </c>
      <c r="I29" s="65" t="e">
        <f>COUNTIFS(#REF!,"Yes",#REF!,
"Yes",#REF!,
I$1)
/
COUNTIFS(#REF!,"&lt;&gt;I don't know / Prefer not to say",#REF!,
"&lt;&gt;-",#REF!,
"Yes",#REF!,
I$1)</f>
        <v>#REF!</v>
      </c>
      <c r="J29" s="65" t="e">
        <f>COUNTIFS(#REF!,"Yes",#REF!,
"Yes",#REF!,
J$1)
/
COUNTIFS(#REF!,"&lt;&gt;I don't know / Prefer not to say",#REF!,
"&lt;&gt;-",#REF!,
"Yes",#REF!,
J$1)</f>
        <v>#REF!</v>
      </c>
      <c r="K29" s="66" t="e">
        <f>COUNTIFS(#REF!,"Yes",#REF!,
"Yes",#REF!,
K$1)
/
COUNTIFS(#REF!,"&lt;&gt;I don't know / Prefer not to say",#REF!,
"&lt;&gt;-",#REF!,
"Yes",#REF!,
K$1)</f>
        <v>#REF!</v>
      </c>
      <c r="L29" s="64" t="e">
        <f>COUNTIFS(#REF!,"Yes",#REF!,
"Yes",#REF!,
L$1)
/
COUNTIFS(#REF!,"&lt;&gt;I don't know / Prefer not to say",#REF!,
"&lt;&gt;-",#REF!,
"Yes",#REF!,
L$1)</f>
        <v>#REF!</v>
      </c>
      <c r="M29" s="65" t="e">
        <f>COUNTIFS(#REF!,"Yes",#REF!,
"Yes",#REF!,
M$1)
/
COUNTIFS(#REF!,"&lt;&gt;I don't know / Prefer not to say",#REF!,
"&lt;&gt;-",#REF!,
"Yes",#REF!,
M$1)</f>
        <v>#REF!</v>
      </c>
      <c r="N29" s="65" t="s">
        <v>139</v>
      </c>
      <c r="O29" s="66" t="s">
        <v>139</v>
      </c>
      <c r="P29" s="64" t="e">
        <f>COUNTIFS(#REF!,"Yes",#REF!,
"Yes",#REF!,
P$1)
/
COUNTIFS(#REF!,"&lt;&gt;I don't know / Prefer not to say",#REF!,
"&lt;&gt;-",#REF!,
"Yes",#REF!,
P$1)</f>
        <v>#REF!</v>
      </c>
      <c r="Q29" s="65" t="e">
        <f>COUNTIFS(#REF!,"Yes",#REF!,
"Yes",#REF!,
Q$1)
/
COUNTIFS(#REF!,"&lt;&gt;I don't know / Prefer not to say",#REF!,
"&lt;&gt;-",#REF!,
"Yes",#REF!,
Q$1)</f>
        <v>#REF!</v>
      </c>
      <c r="R29" s="66" t="e">
        <f>COUNTIFS(#REF!,"Yes",#REF!,
"Yes",#REF!,
"&lt;&gt;Complaint was fully investigated and the complaint was fully or partially upheld",#REF!,
"&lt;&gt;Complaint was fully investigated and the complaint was not upheld")
/
COUNTIFS(#REF!,"&lt;&gt;I don't know / Prefer not to say",#REF!,
"&lt;&gt;-",#REF!,
"Yes",#REF!,
"&lt;&gt;Complaint was fully investigated and the complaint was fully or partially upheld",#REF!,
"&lt;&gt;Complaint was fully investigated and the complaint was not upheld")</f>
        <v>#REF!</v>
      </c>
    </row>
    <row r="30" spans="1:19">
      <c r="C30" s="8"/>
      <c r="D30" s="35"/>
      <c r="E30" s="35"/>
      <c r="F30" s="34"/>
      <c r="G30" s="33"/>
      <c r="H30" s="35"/>
      <c r="I30" s="34"/>
      <c r="J30" s="34"/>
      <c r="K30" s="33"/>
      <c r="L30" s="35"/>
      <c r="M30" s="34"/>
      <c r="N30" s="34"/>
      <c r="O30" s="33"/>
      <c r="P30" s="35"/>
      <c r="Q30" s="34"/>
      <c r="R30" s="33"/>
    </row>
    <row r="31" spans="1:19">
      <c r="C31" s="55"/>
      <c r="D31" s="56"/>
      <c r="E31" s="56"/>
      <c r="F31" s="6"/>
      <c r="G31" s="57"/>
      <c r="H31" s="56"/>
      <c r="I31" s="6"/>
      <c r="J31" s="6"/>
      <c r="K31" s="57"/>
      <c r="L31" s="56"/>
      <c r="M31" s="6"/>
      <c r="N31" s="6"/>
      <c r="O31" s="57"/>
      <c r="P31" s="56"/>
      <c r="Q31" s="6"/>
      <c r="R31" s="57"/>
    </row>
    <row r="32" spans="1:19">
      <c r="A32" s="89">
        <v>3.1</v>
      </c>
      <c r="B32" t="s">
        <v>179</v>
      </c>
      <c r="C32" s="136" t="s">
        <v>16</v>
      </c>
      <c r="D32" s="85" t="e">
        <f>SUM(E32:G32)</f>
        <v>#REF!</v>
      </c>
      <c r="E32" s="85" t="e">
        <f>COUNTIFS(#REF!,"Yes",#REF!,
"Yes")
/
COUNTIFS(#REF!,"&lt;&gt;Prefer not to say",#REF!,
"&lt;&gt;I don't know",#REF!,
"&lt;&gt;-",#REF!,
"Yes")</f>
        <v>#REF!</v>
      </c>
      <c r="F32" s="86" t="e">
        <f>COUNTIFS(#REF!,"Neutral",#REF!,
"Yes")
/
COUNTIFS(#REF!,"&lt;&gt;Prefer not to say",#REF!,
"&lt;&gt;I don't know",#REF!,
"&lt;&gt;-",#REF!,
"Yes")</f>
        <v>#REF!</v>
      </c>
      <c r="G32" s="87" t="e">
        <f>COUNTIFS(#REF!,"No",#REF!,
"Yes")
/
COUNTIFS(#REF!,"&lt;&gt;Prefer not to say",#REF!,
"&lt;&gt;I don't know",#REF!,
"&lt;&gt;-",#REF!,
"Yes")</f>
        <v>#REF!</v>
      </c>
      <c r="H32" s="85" t="e">
        <f>COUNTIFS(#REF!,"No",#REF!,
"Yes",#REF!,
H$1)
/
COUNTIFS(#REF!,"&lt;&gt;Prefer not to say",#REF!,
"&lt;&gt;I don't know",#REF!,
"&lt;&gt;-",#REF!,
"Yes",#REF!,
H$1)</f>
        <v>#REF!</v>
      </c>
      <c r="I32" s="86" t="e">
        <f>COUNTIFS(#REF!,"No",#REF!,
"Yes",#REF!,
I$1)
/
COUNTIFS(#REF!,"&lt;&gt;Prefer not to say",#REF!,
"&lt;&gt;I don't know",#REF!,
"&lt;&gt;-",#REF!,
"Yes",#REF!,
I$1)</f>
        <v>#REF!</v>
      </c>
      <c r="J32" s="86" t="e">
        <f>COUNTIFS(#REF!,"No",#REF!,
"Yes",#REF!,
J$1)
/
COUNTIFS(#REF!,"&lt;&gt;Prefer not to say",#REF!,
"&lt;&gt;I don't know",#REF!,
"&lt;&gt;-",#REF!,
"Yes",#REF!,
J$1)</f>
        <v>#REF!</v>
      </c>
      <c r="K32" s="87" t="e">
        <f>COUNTIFS(#REF!,"No",#REF!,
"Yes",#REF!,
K$1)
/
COUNTIFS(#REF!,"&lt;&gt;Prefer not to say",#REF!,
"&lt;&gt;I don't know",#REF!,
"&lt;&gt;-",#REF!,
"Yes",#REF!,
K$1)</f>
        <v>#REF!</v>
      </c>
      <c r="L32" s="85" t="e">
        <f>COUNTIFS(#REF!,"No",#REF!,
"Yes",#REF!,
L$1)
/
COUNTIFS(#REF!,"&lt;&gt;Prefer not to say",#REF!,
"&lt;&gt;I don't know",#REF!,
"&lt;&gt;-",#REF!,
"Yes",#REF!,
L$1)</f>
        <v>#REF!</v>
      </c>
      <c r="M32" s="86" t="e">
        <f>COUNTIFS(#REF!,"No",#REF!,
"Yes",#REF!,
M$1)
/
COUNTIFS(#REF!,"&lt;&gt;Prefer not to say",#REF!,
"&lt;&gt;I don't know",#REF!,
"&lt;&gt;-",#REF!,
"Yes",#REF!,
M$1)</f>
        <v>#REF!</v>
      </c>
      <c r="N32" s="86" t="e">
        <f>COUNTIFS(#REF!,"No",#REF!,
"Yes",#REF!,
N$1)
/
COUNTIFS(#REF!,"&lt;&gt;Prefer not to say",#REF!,
"&lt;&gt;I don't know",#REF!,
"&lt;&gt;-",#REF!,
"Yes",#REF!,
N$1)</f>
        <v>#REF!</v>
      </c>
      <c r="O32" s="87" t="e">
        <f>COUNTIFS(#REF!,"No",#REF!,
"Yes",#REF!,
O$1)
/
COUNTIFS(#REF!,"&lt;&gt;Prefer not to say",#REF!,
"&lt;&gt;I don't know",#REF!,
"&lt;&gt;-",#REF!,
"Yes",#REF!,
O$1)</f>
        <v>#REF!</v>
      </c>
      <c r="P32" s="85" t="e">
        <f>COUNTIFS(#REF!,"No",#REF!,
"Yes",#REF!,
P$1)
/
COUNTIFS(#REF!,"&lt;&gt;Prefer not to say",#REF!,
"&lt;&gt;I don't know",#REF!,
"&lt;&gt;-",#REF!,
"Yes",#REF!,
P$1)</f>
        <v>#REF!</v>
      </c>
      <c r="Q32" s="86" t="e">
        <f>COUNTIFS(#REF!,"No",#REF!,
"Yes",#REF!,
Q$1)
/
COUNTIFS(#REF!,"&lt;&gt;Prefer not to say",#REF!,
"&lt;&gt;I don't know",#REF!,
"&lt;&gt;-",#REF!,
"Yes",#REF!,
Q$1)</f>
        <v>#REF!</v>
      </c>
      <c r="R32" s="87" t="e">
        <f>COUNTIFS(#REF!,"No",#REF!,
"Yes",#REF!,
"&lt;&gt;Complaint was fully investigated and the complaint was fully or partially upheld",#REF!,
"&lt;&gt;Complaint was fully investigated and the complaint was not upheld")
/
COUNTIFS(#REF!,"&lt;&gt;Prefer not to say",#REF!,
"&lt;&gt;I don't know",#REF!,
"&lt;&gt;-",#REF!,
"Yes",#REF!,
"&lt;&gt;Complaint was fully investigated and the complaint was fully or partially upheld",#REF!,
"&lt;&gt;Complaint was fully investigated and the complaint was not upheld")</f>
        <v>#REF!</v>
      </c>
    </row>
    <row r="33" spans="3:18" ht="15.75" thickBot="1">
      <c r="C33" s="185"/>
      <c r="D33" s="90"/>
      <c r="E33" s="52"/>
      <c r="F33" s="52"/>
      <c r="G33" s="53"/>
      <c r="H33" s="54"/>
      <c r="I33" s="52"/>
      <c r="J33" s="52"/>
      <c r="K33" s="53"/>
      <c r="L33" s="54"/>
      <c r="M33" s="52"/>
      <c r="N33" s="52"/>
      <c r="O33" s="53"/>
      <c r="P33" s="54"/>
      <c r="Q33" s="52"/>
      <c r="R33" s="53"/>
    </row>
    <row r="34" spans="3:18" ht="15.75" thickTop="1">
      <c r="C34" s="186" t="s">
        <v>7</v>
      </c>
      <c r="D34" s="187" t="e">
        <f>SUM(E34:G34)</f>
        <v>#REF!</v>
      </c>
      <c r="E34" s="188" t="e">
        <f>COUNTIFS(#REF!,"Yes",#REF!,
"Yes")
/
COUNTIFS(#REF!,"&lt;&gt;Prefer not to say",#REF!,
"&lt;&gt;-",#REF!,
"Yes")</f>
        <v>#REF!</v>
      </c>
      <c r="F34" s="188" t="e">
        <f>COUNTIFS(#REF!,"Neutral",#REF!,
"Yes")
/
COUNTIFS(#REF!,"&lt;&gt;Prefer not to say",#REF!,
"&lt;&gt;-",#REF!,
"Yes")</f>
        <v>#REF!</v>
      </c>
      <c r="G34" s="189" t="e">
        <f>COUNTIFS(#REF!,"No",#REF!,
"Yes")
/
COUNTIFS(#REF!,"&lt;&gt;Prefer not to say",#REF!,
"&lt;&gt;-",#REF!,
"Yes")</f>
        <v>#REF!</v>
      </c>
      <c r="H34" s="190" t="e">
        <f>COUNTIFS(#REF!,"No",#REF!,
"Yes",#REF!,
H$1)
/
COUNTIFS(#REF!,"&lt;&gt;Prefer not to say",#REF!,
"&lt;&gt;-",#REF!,
"Yes",#REF!,
H$1)</f>
        <v>#REF!</v>
      </c>
      <c r="I34" s="188" t="e">
        <f>COUNTIFS(#REF!,"No",#REF!,
"Yes",#REF!,
I$1)
/
COUNTIFS(#REF!,"&lt;&gt;Prefer not to say",#REF!,
"&lt;&gt;-",#REF!,
"Yes",#REF!,
I$1)</f>
        <v>#REF!</v>
      </c>
      <c r="J34" s="188" t="e">
        <f>COUNTIFS(#REF!,"No",#REF!,
"Yes",#REF!,
J$1)
/
COUNTIFS(#REF!,"&lt;&gt;Prefer not to say",#REF!,
"&lt;&gt;-",#REF!,
"Yes",#REF!,
J$1)</f>
        <v>#REF!</v>
      </c>
      <c r="K34" s="189" t="e">
        <f>COUNTIFS(#REF!,"No",#REF!,
"Yes",#REF!,
K$1)
/
COUNTIFS(#REF!,"&lt;&gt;Prefer not to say",#REF!,
"&lt;&gt;-",#REF!,
"Yes",#REF!,
K$1)</f>
        <v>#REF!</v>
      </c>
      <c r="L34" s="190" t="e">
        <f>COUNTIFS(#REF!,"No",#REF!,
"Yes",#REF!,
L$1)
/
COUNTIFS(#REF!,"&lt;&gt;Prefer not to say",#REF!,
"&lt;&gt;-",#REF!,
"Yes",#REF!,
L$1)</f>
        <v>#REF!</v>
      </c>
      <c r="M34" s="188" t="e">
        <f>COUNTIFS(#REF!,"No",#REF!,
"Yes",#REF!,
M$1)
/
COUNTIFS(#REF!,"&lt;&gt;Prefer not to say",#REF!,
"&lt;&gt;-",#REF!,
"Yes",#REF!,
M$1)</f>
        <v>#REF!</v>
      </c>
      <c r="N34" s="188" t="e">
        <f>COUNTIFS(#REF!,"No",#REF!,
"Yes",#REF!,
N$1)
/
COUNTIFS(#REF!,"&lt;&gt;Prefer not to say",#REF!,
"&lt;&gt;-",#REF!,
"Yes",#REF!,
N$1)</f>
        <v>#REF!</v>
      </c>
      <c r="O34" s="189" t="e">
        <f>COUNTIFS(#REF!,"No",#REF!,
"Yes",#REF!,
O$1)
/
COUNTIFS(#REF!,"&lt;&gt;Prefer not to say",#REF!,
"&lt;&gt;-",#REF!,
"Yes",#REF!,
O$1)</f>
        <v>#REF!</v>
      </c>
      <c r="P34" s="190" t="e">
        <f>COUNTIFS(#REF!,"No",#REF!,
"Yes",#REF!,
P$1)
/
COUNTIFS(#REF!,"&lt;&gt;Prefer not to say",#REF!,
"&lt;&gt;-",#REF!,
"Yes",#REF!,
P$1)</f>
        <v>#REF!</v>
      </c>
      <c r="Q34" s="188" t="e">
        <f>COUNTIFS(#REF!,"No",#REF!,
"Yes",#REF!,
Q$1)
/
COUNTIFS(#REF!,"&lt;&gt;Prefer not to say",#REF!,
"&lt;&gt;-",#REF!,
"Yes",#REF!,
Q$1)</f>
        <v>#REF!</v>
      </c>
      <c r="R34" s="189" t="e">
        <f>COUNTIFS(#REF!,"No",#REF!,
"Yes",#REF!,
"&lt;&gt;Complaint was fully investigated and the complaint was fully or partially upheld",#REF!,"&lt;&gt;Complaint was fully investigated and the complaint was not upheld")
/
COUNTIFS(#REF!,"&lt;&gt;Prefer not to say",#REF!,
"&lt;&gt;-",#REF!,
"Yes",#REF!,
"&lt;&gt;Complaint was fully investigated and the complaint was fully or partially upheld",#REF!,"&lt;&gt;Complaint was fully investigated and the complaint was not upheld")</f>
        <v>#REF!</v>
      </c>
    </row>
    <row r="35" spans="3:18">
      <c r="C35" s="186" t="s">
        <v>8</v>
      </c>
      <c r="D35" s="187" t="e">
        <f>SUM(E35:G35)</f>
        <v>#REF!</v>
      </c>
      <c r="E35" s="188" t="e">
        <f>COUNTIFS(#REF!,"Yes",#REF!,
"Yes")
/
COUNTIFS(#REF!,"&lt;&gt;Prefer not to say",#REF!,
"&lt;&gt;-",#REF!,
"Yes")</f>
        <v>#REF!</v>
      </c>
      <c r="F35" s="188" t="e">
        <f>COUNTIFS(#REF!,"Neutral",#REF!,
"Yes")
/
COUNTIFS(#REF!,"&lt;&gt;Prefer not to say",#REF!,
"&lt;&gt;-",#REF!,
"Yes")</f>
        <v>#REF!</v>
      </c>
      <c r="G35" s="189" t="e">
        <f>COUNTIFS(#REF!,"No",#REF!,
"Yes")
/
COUNTIFS(#REF!,"&lt;&gt;Prefer not to say",#REF!,
"&lt;&gt;-",#REF!,
"Yes")</f>
        <v>#REF!</v>
      </c>
      <c r="H35" s="190" t="e">
        <f>COUNTIFS(#REF!,"No",#REF!,
"Yes",#REF!,
H$1)
/
COUNTIFS(#REF!,"&lt;&gt;Prefer not to say",#REF!,
"&lt;&gt;-",#REF!,
"Yes",#REF!,
H$1)</f>
        <v>#REF!</v>
      </c>
      <c r="I35" s="188" t="e">
        <f>COUNTIFS(#REF!,"No",#REF!,
"Yes",#REF!,
I$1)
/
COUNTIFS(#REF!,"&lt;&gt;Prefer not to say",#REF!,
"&lt;&gt;-",#REF!,
"Yes",#REF!,
I$1)</f>
        <v>#REF!</v>
      </c>
      <c r="J35" s="188" t="e">
        <f>COUNTIFS(#REF!,"No",#REF!,
"Yes",#REF!,
J$1)
/
COUNTIFS(#REF!,"&lt;&gt;Prefer not to say",#REF!,
"&lt;&gt;-",#REF!,
"Yes",#REF!,
J$1)</f>
        <v>#REF!</v>
      </c>
      <c r="K35" s="189" t="e">
        <f>COUNTIFS(#REF!,"No",#REF!,
"Yes",#REF!,
K$1)
/
COUNTIFS(#REF!,"&lt;&gt;Prefer not to say",#REF!,
"&lt;&gt;-",#REF!,
"Yes",#REF!,
K$1)</f>
        <v>#REF!</v>
      </c>
      <c r="L35" s="190" t="e">
        <f>COUNTIFS(#REF!,"No",#REF!,
"Yes",#REF!,
L$1)
/
COUNTIFS(#REF!,"&lt;&gt;Prefer not to say",#REF!,
"&lt;&gt;-",#REF!,
"Yes",#REF!,
L$1)</f>
        <v>#REF!</v>
      </c>
      <c r="M35" s="188" t="e">
        <f>COUNTIFS(#REF!,"No",#REF!,
"Yes",#REF!,
M$1)
/
COUNTIFS(#REF!,"&lt;&gt;Prefer not to say",#REF!,
"&lt;&gt;-",#REF!,
"Yes",#REF!,
M$1)</f>
        <v>#REF!</v>
      </c>
      <c r="N35" s="188" t="e">
        <f>COUNTIFS(#REF!,"No",#REF!,
"Yes",#REF!,
N$1)
/
COUNTIFS(#REF!,"&lt;&gt;Prefer not to say",#REF!,
"&lt;&gt;-",#REF!,
"Yes",#REF!,
N$1)</f>
        <v>#REF!</v>
      </c>
      <c r="O35" s="189" t="e">
        <f>COUNTIFS(#REF!,"No",#REF!,
"Yes",#REF!,
O$1)
/
COUNTIFS(#REF!,"&lt;&gt;Prefer not to say",#REF!,
"&lt;&gt;-",#REF!,
"Yes",#REF!,
O$1)</f>
        <v>#REF!</v>
      </c>
      <c r="P35" s="190" t="e">
        <f>COUNTIFS(#REF!,"No",#REF!,
"Yes",#REF!,
P$1)
/
COUNTIFS(#REF!,"&lt;&gt;Prefer not to say",#REF!,
"&lt;&gt;-",#REF!,
"Yes",#REF!,
P$1)</f>
        <v>#REF!</v>
      </c>
      <c r="Q35" s="188" t="e">
        <f>COUNTIFS(#REF!,"No",#REF!,
"Yes",#REF!,
Q$1)
/
COUNTIFS(#REF!,"&lt;&gt;Prefer not to say",#REF!,
"&lt;&gt;-",#REF!,
"Yes",#REF!,
Q$1)</f>
        <v>#REF!</v>
      </c>
      <c r="R35" s="189" t="e">
        <f>COUNTIFS(#REF!,"No",#REF!,
"Yes",#REF!,
"&lt;&gt;Complaint was fully investigated and the complaint was fully or partially upheld",#REF!,"&lt;&gt;Complaint was fully investigated and the complaint was not upheld")
/
COUNTIFS(#REF!,"&lt;&gt;Prefer not to say",#REF!,
"&lt;&gt;-",#REF!,
"Yes",#REF!,
"&lt;&gt;Complaint was fully investigated and the complaint was fully or partially upheld",#REF!,"&lt;&gt;Complaint was fully investigated and the complaint was not upheld")</f>
        <v>#REF!</v>
      </c>
    </row>
    <row r="36" spans="3:18">
      <c r="C36" s="186" t="s">
        <v>9</v>
      </c>
      <c r="D36" s="187" t="e">
        <f>SUM(E36:G36)</f>
        <v>#REF!</v>
      </c>
      <c r="E36" s="188" t="e">
        <f>COUNTIFS(#REF!,"Yes",#REF!,
"Yes")
/
COUNTIFS(#REF!,"&lt;&gt;Prefer not to say",#REF!,
"&lt;&gt;-",#REF!,
"Yes")</f>
        <v>#REF!</v>
      </c>
      <c r="F36" s="188" t="e">
        <f>COUNTIFS(#REF!,"Neutral",#REF!,
"Yes")
/
COUNTIFS(#REF!,"&lt;&gt;Prefer not to say",#REF!,
"&lt;&gt;-",#REF!,
"Yes")</f>
        <v>#REF!</v>
      </c>
      <c r="G36" s="189" t="e">
        <f>COUNTIFS(#REF!,"No",#REF!,
"Yes")
/
COUNTIFS(#REF!,"&lt;&gt;Prefer not to say",#REF!,
"&lt;&gt;-",#REF!,
"Yes")</f>
        <v>#REF!</v>
      </c>
      <c r="H36" s="190" t="e">
        <f>COUNTIFS(#REF!,"No",#REF!,
"Yes",#REF!,
H$1)
/
COUNTIFS(#REF!,"&lt;&gt;Prefer not to say",#REF!,
"&lt;&gt;-",#REF!,
"Yes",#REF!,
H$1)</f>
        <v>#REF!</v>
      </c>
      <c r="I36" s="188" t="e">
        <f>COUNTIFS(#REF!,"No",#REF!,
"Yes",#REF!,
I$1)
/
COUNTIFS(#REF!,"&lt;&gt;Prefer not to say",#REF!,
"&lt;&gt;-",#REF!,
"Yes",#REF!,
I$1)</f>
        <v>#REF!</v>
      </c>
      <c r="J36" s="188" t="e">
        <f>COUNTIFS(#REF!,"No",#REF!,
"Yes",#REF!,
J$1)
/
COUNTIFS(#REF!,"&lt;&gt;Prefer not to say",#REF!,
"&lt;&gt;-",#REF!,
"Yes",#REF!,
J$1)</f>
        <v>#REF!</v>
      </c>
      <c r="K36" s="189" t="e">
        <f>COUNTIFS(#REF!,"No",#REF!,
"Yes",#REF!,
K$1)
/
COUNTIFS(#REF!,"&lt;&gt;Prefer not to say",#REF!,
"&lt;&gt;-",#REF!,
"Yes",#REF!,
K$1)</f>
        <v>#REF!</v>
      </c>
      <c r="L36" s="190" t="e">
        <f>COUNTIFS(#REF!,"No",#REF!,
"Yes",#REF!,
L$1)
/
COUNTIFS(#REF!,"&lt;&gt;Prefer not to say",#REF!,
"&lt;&gt;-",#REF!,
"Yes",#REF!,
L$1)</f>
        <v>#REF!</v>
      </c>
      <c r="M36" s="188" t="e">
        <f>COUNTIFS(#REF!,"No",#REF!,
"Yes",#REF!,
M$1)
/
COUNTIFS(#REF!,"&lt;&gt;Prefer not to say",#REF!,
"&lt;&gt;-",#REF!,
"Yes",#REF!,
M$1)</f>
        <v>#REF!</v>
      </c>
      <c r="N36" s="188" t="e">
        <f>COUNTIFS(#REF!,"No",#REF!,
"Yes",#REF!,
N$1)
/
COUNTIFS(#REF!,"&lt;&gt;Prefer not to say",#REF!,
"&lt;&gt;-",#REF!,
"Yes",#REF!,
N$1)</f>
        <v>#REF!</v>
      </c>
      <c r="O36" s="189" t="e">
        <f>COUNTIFS(#REF!,"No",#REF!,
"Yes",#REF!,
O$1)
/
COUNTIFS(#REF!,"&lt;&gt;Prefer not to say",#REF!,
"&lt;&gt;-",#REF!,
"Yes",#REF!,
O$1)</f>
        <v>#REF!</v>
      </c>
      <c r="P36" s="190" t="e">
        <f>COUNTIFS(#REF!,"No",#REF!,
"Yes",#REF!,
P$1)
/
COUNTIFS(#REF!,"&lt;&gt;Prefer not to say",#REF!,
"&lt;&gt;-",#REF!,
"Yes",#REF!,
P$1)</f>
        <v>#REF!</v>
      </c>
      <c r="Q36" s="188" t="e">
        <f>COUNTIFS(#REF!,"No",#REF!,
"Yes",#REF!,
Q$1)
/
COUNTIFS(#REF!,"&lt;&gt;Prefer not to say",#REF!,
"&lt;&gt;-",#REF!,
"Yes",#REF!,
Q$1)</f>
        <v>#REF!</v>
      </c>
      <c r="R36" s="189" t="e">
        <f>COUNTIFS(#REF!,"No",#REF!,
"Yes",#REF!,
"&lt;&gt;Complaint was fully investigated and the complaint was fully or partially upheld",#REF!,"&lt;&gt;Complaint was fully investigated and the complaint was not upheld")
/
COUNTIFS(#REF!,"&lt;&gt;Prefer not to say",#REF!,
"&lt;&gt;-",#REF!,
"Yes",#REF!,
"&lt;&gt;Complaint was fully investigated and the complaint was fully or partially upheld",#REF!,"&lt;&gt;Complaint was fully investigated and the complaint was not upheld")</f>
        <v>#REF!</v>
      </c>
    </row>
    <row r="37" spans="3:18" ht="15.75" thickBot="1">
      <c r="C37" s="185" t="s">
        <v>10</v>
      </c>
      <c r="D37" s="191" t="e">
        <f>SUM(E37:G37)</f>
        <v>#REF!</v>
      </c>
      <c r="E37" s="192" t="e">
        <f>COUNTIFS(#REF!,"Yes",#REF!,
"Yes")
/
COUNTIFS(#REF!,"&lt;&gt;Prefer not to say",#REF!,
"&lt;&gt;-",#REF!,
"Yes")</f>
        <v>#REF!</v>
      </c>
      <c r="F37" s="192" t="e">
        <f>COUNTIFS(#REF!,"Neutral",#REF!,
"Yes")
/
COUNTIFS(#REF!,"&lt;&gt;Prefer not to say",#REF!,
"&lt;&gt;-",#REF!,
"Yes")</f>
        <v>#REF!</v>
      </c>
      <c r="G37" s="193" t="e">
        <f>COUNTIFS(#REF!,"No",#REF!,
"Yes")
/
COUNTIFS(#REF!,"&lt;&gt;Prefer not to say",#REF!,
"&lt;&gt;-",#REF!,
"Yes")</f>
        <v>#REF!</v>
      </c>
      <c r="H37" s="194" t="e">
        <f>COUNTIFS(#REF!,"No",#REF!,
"Yes",#REF!,
H$1)
/
COUNTIFS(#REF!,"&lt;&gt;Prefer not to say",#REF!,
"&lt;&gt;-",#REF!,
"Yes",#REF!,
H$1)</f>
        <v>#REF!</v>
      </c>
      <c r="I37" s="195" t="e">
        <f>COUNTIFS(#REF!,"No",#REF!,
"Yes",#REF!,
I$1)
/
COUNTIFS(#REF!,"&lt;&gt;Prefer not to say",#REF!,
"&lt;&gt;-",#REF!,
"Yes",#REF!,
I$1)</f>
        <v>#REF!</v>
      </c>
      <c r="J37" s="195" t="e">
        <f>COUNTIFS(#REF!,"No",#REF!,
"Yes",#REF!,
J$1)
/
COUNTIFS(#REF!,"&lt;&gt;Prefer not to say",#REF!,
"&lt;&gt;-",#REF!,
"Yes",#REF!,
J$1)</f>
        <v>#REF!</v>
      </c>
      <c r="K37" s="196" t="e">
        <f>COUNTIFS(#REF!,"No",#REF!,
"Yes",#REF!,
K$1)
/
COUNTIFS(#REF!,"&lt;&gt;Prefer not to say",#REF!,
"&lt;&gt;-",#REF!,
"Yes",#REF!,
K$1)</f>
        <v>#REF!</v>
      </c>
      <c r="L37" s="197" t="e">
        <f>COUNTIFS(#REF!,"No",#REF!,
"Yes",#REF!,
L$1)
/
COUNTIFS(#REF!,"&lt;&gt;Prefer not to say",#REF!,
"&lt;&gt;-",#REF!,
"Yes",#REF!,
L$1)</f>
        <v>#REF!</v>
      </c>
      <c r="M37" s="195" t="e">
        <f>COUNTIFS(#REF!,"No",#REF!,
"Yes",#REF!,
M$1)
/
COUNTIFS(#REF!,"&lt;&gt;Prefer not to say",#REF!,
"&lt;&gt;-",#REF!,
"Yes",#REF!,
M$1)</f>
        <v>#REF!</v>
      </c>
      <c r="N37" s="195" t="e">
        <f>COUNTIFS(#REF!,"No",#REF!,
"Yes",#REF!,
N$1)
/
COUNTIFS(#REF!,"&lt;&gt;Prefer not to say",#REF!,
"&lt;&gt;-",#REF!,
"Yes",#REF!,
N$1)</f>
        <v>#REF!</v>
      </c>
      <c r="O37" s="196" t="e">
        <f>COUNTIFS(#REF!,"No",#REF!,
"Yes",#REF!,
O$1)
/
COUNTIFS(#REF!,"&lt;&gt;Prefer not to say",#REF!,
"&lt;&gt;-",#REF!,
"Yes",#REF!,
O$1)</f>
        <v>#REF!</v>
      </c>
      <c r="P37" s="197" t="e">
        <f>COUNTIFS(#REF!,"No",#REF!,
"Yes",#REF!,
P$1)
/
COUNTIFS(#REF!,"&lt;&gt;Prefer not to say",#REF!,
"&lt;&gt;-",#REF!,
"Yes",#REF!,
P$1)</f>
        <v>#REF!</v>
      </c>
      <c r="Q37" s="195" t="e">
        <f>COUNTIFS(#REF!,"No",#REF!,
"Yes",#REF!,
Q$1)
/
COUNTIFS(#REF!,"&lt;&gt;Prefer not to say",#REF!,
"&lt;&gt;-",#REF!,
"Yes",#REF!,
Q$1)</f>
        <v>#REF!</v>
      </c>
      <c r="R37" s="196" t="e">
        <f>COUNTIFS(#REF!,"No",#REF!,
"Yes",#REF!,
"&lt;&gt;Complaint was fully investigated and the complaint was fully or partially upheld",#REF!,"&lt;&gt;Complaint was fully investigated and the complaint was not upheld")
/
COUNTIFS(#REF!,"&lt;&gt;Prefer not to say",#REF!,
"&lt;&gt;-",#REF!,
"Yes",#REF!,
"&lt;&gt;Complaint was fully investigated and the complaint was fully or partially upheld",#REF!,"&lt;&gt;Complaint was fully investigated and the complaint was not upheld")</f>
        <v>#REF!</v>
      </c>
    </row>
    <row r="38" spans="3:18" ht="15.75" thickTop="1">
      <c r="C38" s="8" t="s">
        <v>1</v>
      </c>
      <c r="D38" s="8"/>
      <c r="E38" s="5" t="e">
        <f>COUNTIF(#REF!,"Yes")</f>
        <v>#REF!</v>
      </c>
      <c r="F38" s="5" t="e">
        <f>COUNTIF(#REF!,"-")</f>
        <v>#REF!</v>
      </c>
      <c r="G38" s="9" t="e">
        <f>COUNTIF(#REF!,"No")</f>
        <v>#REF!</v>
      </c>
      <c r="K38" s="9"/>
      <c r="L38" s="21"/>
      <c r="O38" s="9"/>
      <c r="P38" s="8"/>
      <c r="R38" s="13"/>
    </row>
    <row r="39" spans="3:18" ht="15.75" thickBot="1">
      <c r="C39" s="36" t="s">
        <v>11</v>
      </c>
      <c r="D39" s="37"/>
      <c r="E39" s="38" t="e">
        <f>COUNTIF(#REF!,"Yes")</f>
        <v>#REF!</v>
      </c>
      <c r="F39" s="38" t="e">
        <f>COUNTIF(#REF!,"-")</f>
        <v>#REF!</v>
      </c>
      <c r="G39" s="39" t="e">
        <f>COUNTIF(#REF!,"No")</f>
        <v>#REF!</v>
      </c>
      <c r="H39" s="38"/>
      <c r="I39" s="38"/>
      <c r="J39" s="38"/>
      <c r="K39" s="39"/>
      <c r="L39" s="40"/>
      <c r="M39" s="38"/>
      <c r="N39" s="38"/>
      <c r="O39" s="39"/>
      <c r="P39" s="36"/>
      <c r="Q39" s="81"/>
      <c r="R39" s="41"/>
    </row>
    <row r="40" spans="3:18" ht="15.75" thickTop="1">
      <c r="C40" s="15" t="s">
        <v>26</v>
      </c>
      <c r="D40" s="15"/>
      <c r="E40" s="16" t="e">
        <f>COUNTIF(#REF!,"Yes")</f>
        <v>#REF!</v>
      </c>
      <c r="F40" s="16" t="e">
        <f>COUNTIF(#REF!,"-")</f>
        <v>#REF!</v>
      </c>
      <c r="G40" s="24" t="e">
        <f>COUNTIF(#REF!,"No")</f>
        <v>#REF!</v>
      </c>
      <c r="H40" s="16"/>
      <c r="I40" s="16"/>
      <c r="J40" s="16"/>
      <c r="K40" s="24"/>
      <c r="L40" s="23"/>
      <c r="M40" s="16"/>
      <c r="N40" s="16"/>
      <c r="O40" s="24"/>
      <c r="P40" s="15"/>
      <c r="Q40" s="82"/>
      <c r="R40" s="17"/>
    </row>
    <row r="41" spans="3:18">
      <c r="C41" s="15" t="s">
        <v>28</v>
      </c>
      <c r="D41" s="15"/>
      <c r="E41" s="16" t="e">
        <f>COUNTIF(#REF!,"Yes")</f>
        <v>#REF!</v>
      </c>
      <c r="F41" s="16" t="e">
        <f>COUNTIF(#REF!,"-")</f>
        <v>#REF!</v>
      </c>
      <c r="G41" s="24" t="e">
        <f>COUNTIF(#REF!,"No")</f>
        <v>#REF!</v>
      </c>
      <c r="H41" s="16"/>
      <c r="I41" s="16"/>
      <c r="J41" s="16"/>
      <c r="K41" s="24"/>
      <c r="L41" s="23"/>
      <c r="M41" s="16"/>
      <c r="N41" s="16"/>
      <c r="O41" s="24"/>
      <c r="P41" s="15"/>
      <c r="Q41" s="82"/>
      <c r="R41" s="17"/>
    </row>
    <row r="42" spans="3:18">
      <c r="C42" s="18" t="s">
        <v>34</v>
      </c>
      <c r="D42" s="18"/>
      <c r="E42" s="19" t="e">
        <f>COUNTIF(#REF!,"Yes")</f>
        <v>#REF!</v>
      </c>
      <c r="F42" s="19" t="e">
        <f>COUNTIF(#REF!,"-")</f>
        <v>#REF!</v>
      </c>
      <c r="G42" s="26" t="e">
        <f>COUNTIF(#REF!,"No")</f>
        <v>#REF!</v>
      </c>
      <c r="H42" s="19"/>
      <c r="I42" s="19"/>
      <c r="J42" s="19"/>
      <c r="K42" s="26"/>
      <c r="L42" s="25"/>
      <c r="M42" s="19"/>
      <c r="N42" s="19"/>
      <c r="O42" s="26"/>
      <c r="P42" s="18"/>
      <c r="Q42" s="83"/>
      <c r="R42" s="20"/>
    </row>
    <row r="43" spans="3:18">
      <c r="C43" s="8" t="s">
        <v>0</v>
      </c>
      <c r="D43" s="8"/>
      <c r="E43" s="5" t="e">
        <f>COUNTIF(#REF!,"Yes")</f>
        <v>#REF!</v>
      </c>
      <c r="F43" s="5" t="e">
        <f>COUNTIF(#REF!,"-")</f>
        <v>#REF!</v>
      </c>
      <c r="G43" s="9" t="e">
        <f>COUNTIF(#REF!,"No")</f>
        <v>#REF!</v>
      </c>
      <c r="K43" s="9"/>
      <c r="L43" s="21"/>
      <c r="O43" s="9"/>
      <c r="P43" s="8"/>
      <c r="R43" s="13"/>
    </row>
    <row r="44" spans="3:18">
      <c r="C44" s="8" t="s">
        <v>6</v>
      </c>
      <c r="D44" s="42"/>
      <c r="E44" s="5" t="e">
        <f>COUNTIF(#REF!,"Yes")</f>
        <v>#REF!</v>
      </c>
      <c r="F44" s="5" t="e">
        <f>COUNTIF(#REF!,"-")</f>
        <v>#REF!</v>
      </c>
      <c r="G44" s="9" t="e">
        <f>COUNTIF(#REF!,"No")</f>
        <v>#REF!</v>
      </c>
      <c r="H44" s="5" t="e">
        <f>COUNTIF(#REF!,H1)</f>
        <v>#REF!</v>
      </c>
      <c r="I44" s="5" t="e">
        <f>COUNTIF(#REF!,I1)</f>
        <v>#REF!</v>
      </c>
      <c r="J44" s="5" t="e">
        <f>COUNTIF(#REF!,J1)</f>
        <v>#REF!</v>
      </c>
      <c r="K44" s="9" t="e">
        <f>COUNTIF(#REF!,K1)</f>
        <v>#REF!</v>
      </c>
      <c r="L44" s="21"/>
      <c r="O44" s="9"/>
      <c r="P44" s="8"/>
      <c r="R44" s="13"/>
    </row>
    <row r="45" spans="3:18">
      <c r="C45" s="8" t="s">
        <v>17</v>
      </c>
      <c r="D45" s="42"/>
      <c r="E45" s="5" t="e">
        <f>COUNTIF(#REF!,"Yes")</f>
        <v>#REF!</v>
      </c>
      <c r="F45" s="5" t="e">
        <f>COUNTIF(#REF!,"-")</f>
        <v>#REF!</v>
      </c>
      <c r="G45" s="43" t="e">
        <f>COUNTIF(#REF!,"No")</f>
        <v>#REF!</v>
      </c>
      <c r="H45" s="51"/>
      <c r="K45" s="9"/>
      <c r="L45" s="21" t="e">
        <f>COUNTIF(#REF!,L1)</f>
        <v>#REF!</v>
      </c>
      <c r="M45" s="5" t="e">
        <f>COUNTIF(#REF!,M1)</f>
        <v>#REF!</v>
      </c>
      <c r="N45" s="5" t="e">
        <f>COUNTIF(#REF!,N1)</f>
        <v>#REF!</v>
      </c>
      <c r="O45" s="9" t="e">
        <f>COUNTIF(#REF!,O1)</f>
        <v>#REF!</v>
      </c>
      <c r="P45" s="8"/>
      <c r="R45" s="13"/>
    </row>
    <row r="46" spans="3:18">
      <c r="C46" s="10" t="s">
        <v>31</v>
      </c>
      <c r="D46" s="10"/>
      <c r="E46" s="11" t="e">
        <f>COUNTIF(#REF!,"Yes")</f>
        <v>#REF!</v>
      </c>
      <c r="F46" s="11" t="e">
        <f>COUNTIF(#REF!,"-")</f>
        <v>#REF!</v>
      </c>
      <c r="G46" s="12" t="e">
        <f>COUNTIF(#REF!,"No")</f>
        <v>#REF!</v>
      </c>
      <c r="H46" s="11"/>
      <c r="I46" s="11"/>
      <c r="J46" s="11"/>
      <c r="K46" s="12"/>
      <c r="L46" s="22"/>
      <c r="M46" s="11"/>
      <c r="N46" s="11"/>
      <c r="O46" s="12"/>
      <c r="P46" s="10" t="e">
        <f>COUNTIF(#REF!,P1)</f>
        <v>#REF!</v>
      </c>
      <c r="Q46" s="84" t="e">
        <f>COUNTIF(#REF!,Q1)</f>
        <v>#REF!</v>
      </c>
      <c r="R46" s="14" t="e">
        <f>COUNTIFS(#REF!,"&lt;&gt;Complaint was fully investigated and the complaint was fully or partially upheld",#REF!,"&lt;&gt;Complaint was fully investigated and the complaint was not upheld")</f>
        <v>#REF!</v>
      </c>
    </row>
    <row r="54" spans="23:23">
      <c r="W54" t="s">
        <v>180</v>
      </c>
    </row>
    <row r="55" spans="23:23">
      <c r="W55" t="s">
        <v>181</v>
      </c>
    </row>
    <row r="56" spans="23:23">
      <c r="W56" t="s">
        <v>182</v>
      </c>
    </row>
    <row r="57" spans="23:23">
      <c r="W57" t="s">
        <v>183</v>
      </c>
    </row>
    <row r="58" spans="23:23">
      <c r="W58" t="s">
        <v>184</v>
      </c>
    </row>
    <row r="59" spans="23:23">
      <c r="W59" t="s">
        <v>181</v>
      </c>
    </row>
  </sheetData>
  <pageMargins left="0.7" right="0.7" top="0.75" bottom="0.75" header="0.3" footer="0.3"/>
  <pageSetup paperSize="9" scale="4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BCFAF-EFD9-49F5-817E-E5F55D3FD759}">
  <sheetPr codeName="Sheet22">
    <pageSetUpPr fitToPage="1"/>
  </sheetPr>
  <dimension ref="A1:R46"/>
  <sheetViews>
    <sheetView topLeftCell="A2" zoomScale="60" zoomScaleNormal="60" workbookViewId="0">
      <selection activeCell="V31" sqref="V31"/>
    </sheetView>
  </sheetViews>
  <sheetFormatPr defaultRowHeight="15"/>
  <cols>
    <col min="2" max="2" width="157" customWidth="1"/>
    <col min="3" max="3" width="6.140625" customWidth="1"/>
    <col min="4" max="4" width="6.5703125" style="5" customWidth="1"/>
    <col min="5" max="5" width="7.5703125" style="5" customWidth="1"/>
    <col min="6" max="6" width="6.140625" style="5" customWidth="1"/>
    <col min="7" max="7" width="7.140625" style="5" customWidth="1"/>
    <col min="8" max="8" width="7.85546875" style="5" customWidth="1"/>
    <col min="9" max="9" width="8.42578125" style="5" customWidth="1"/>
    <col min="10" max="10" width="8.5703125" style="5" customWidth="1"/>
    <col min="11" max="11" width="10.5703125" style="5" customWidth="1"/>
    <col min="12" max="12" width="7.85546875" style="5" customWidth="1"/>
    <col min="13" max="14" width="8" style="5" customWidth="1"/>
    <col min="15" max="15" width="6.5703125" customWidth="1"/>
    <col min="16" max="16" width="8.42578125" customWidth="1"/>
  </cols>
  <sheetData>
    <row r="1" spans="1:18" s="1" customFormat="1" ht="392.25" hidden="1" customHeight="1">
      <c r="B1" s="2" t="s">
        <v>132</v>
      </c>
      <c r="C1" s="2"/>
      <c r="D1" s="3" t="s">
        <v>140</v>
      </c>
      <c r="E1" s="4" t="s">
        <v>49</v>
      </c>
      <c r="F1" s="3" t="s">
        <v>141</v>
      </c>
      <c r="G1" s="183" t="s">
        <v>37</v>
      </c>
      <c r="H1" s="7" t="s">
        <v>44</v>
      </c>
      <c r="I1" s="183" t="s">
        <v>61</v>
      </c>
      <c r="J1" s="7" t="s">
        <v>50</v>
      </c>
      <c r="K1" s="7" t="s">
        <v>45</v>
      </c>
      <c r="L1" s="7" t="s">
        <v>43</v>
      </c>
      <c r="M1" s="7" t="s">
        <v>39</v>
      </c>
      <c r="N1" s="7" t="s">
        <v>41</v>
      </c>
      <c r="O1" s="170" t="s">
        <v>56</v>
      </c>
      <c r="P1" s="170" t="s">
        <v>47</v>
      </c>
    </row>
    <row r="2" spans="1:18" s="1" customFormat="1" ht="30">
      <c r="A2" s="1" t="s">
        <v>142</v>
      </c>
      <c r="B2" s="27" t="str">
        <f>B1</f>
        <v>Question</v>
      </c>
      <c r="C2" s="28" t="s">
        <v>143</v>
      </c>
      <c r="D2" s="28" t="str">
        <f>D1</f>
        <v>+ve</v>
      </c>
      <c r="E2" s="29" t="str">
        <f>E1</f>
        <v>Neutral</v>
      </c>
      <c r="F2" s="30" t="str">
        <f>F1</f>
        <v>-ve</v>
      </c>
      <c r="G2" s="28" t="s">
        <v>144</v>
      </c>
      <c r="H2" s="29" t="s">
        <v>145</v>
      </c>
      <c r="I2" s="29" t="s">
        <v>146</v>
      </c>
      <c r="J2" s="30" t="s">
        <v>42</v>
      </c>
      <c r="K2" s="28" t="s">
        <v>147</v>
      </c>
      <c r="L2" s="29" t="s">
        <v>148</v>
      </c>
      <c r="M2" s="29" t="s">
        <v>149</v>
      </c>
      <c r="N2" s="30" t="s">
        <v>150</v>
      </c>
      <c r="O2" s="28" t="s">
        <v>151</v>
      </c>
      <c r="P2" s="29" t="s">
        <v>152</v>
      </c>
      <c r="Q2" s="30" t="s">
        <v>153</v>
      </c>
    </row>
    <row r="3" spans="1:18">
      <c r="A3" t="s">
        <v>154</v>
      </c>
      <c r="B3" s="44" t="s">
        <v>30</v>
      </c>
      <c r="C3" s="45" t="e">
        <f t="shared" ref="C3:C9" si="0">SUM(D3:F3)</f>
        <v>#REF!</v>
      </c>
      <c r="D3" s="45" t="e">
        <f>COUNTIFS(#REF!,"No",#REF!,
"Yes")
/
COUNTIFS(#REF!,"&lt;&gt;I don't know / Prefer not to say/ I am not the complainant",#REF!,
"&lt;&gt;-",#REF!,
"Yes")</f>
        <v>#REF!</v>
      </c>
      <c r="E3" s="46" t="e">
        <f>COUNTIFS(#REF!,"Neutral",#REF!,
"Yes")
/
COUNTIFS(#REF!,"&lt;&gt;I don't know / Prefer not to say/ I am not the complainant",#REF!,
"&lt;&gt;-",#REF!,
"Yes")</f>
        <v>#REF!</v>
      </c>
      <c r="F3" s="47" t="e">
        <f>COUNTIFS(#REF!,"Yes",#REF!,
"Yes")
/
COUNTIFS(#REF!,"&lt;&gt;I don't know / Prefer not to say/ I am not the complainant",#REF!,
"&lt;&gt;-",#REF!,
"Yes")</f>
        <v>#REF!</v>
      </c>
      <c r="G3" s="109" t="e">
        <f>COUNTIFS(#REF!,"yes",#REF!,
"Yes",#REF!,
G$1)
/
COUNTIFS(#REF!,"&lt;&gt;I don't know / Prefer not to say/ I am not the complainant",#REF!,
"&lt;&gt;-",#REF!,
"Yes",#REF!,
G$1)</f>
        <v>#REF!</v>
      </c>
      <c r="H3" s="110" t="e">
        <f>COUNTIFS(#REF!,"yes",#REF!,
"Yes",#REF!,
H$1)
/
COUNTIFS(#REF!,"&lt;&gt;I don't know / Prefer not to say/ I am not the complainant",#REF!,
"&lt;&gt;-",#REF!,
"Yes",#REF!,
H$1)</f>
        <v>#REF!</v>
      </c>
      <c r="I3" s="110" t="e">
        <f>COUNTIFS(#REF!,"yes",#REF!,
"Yes",#REF!,
I$1)
/
COUNTIFS(#REF!,"&lt;&gt;I don't know / Prefer not to say/ I am not the complainant",#REF!,
"&lt;&gt;-",#REF!,
"Yes",#REF!,
I$1)</f>
        <v>#REF!</v>
      </c>
      <c r="J3" s="111" t="e">
        <f>COUNTIFS(#REF!,"yes",#REF!,
"Yes",#REF!,
J$1)
/
COUNTIFS(#REF!,"&lt;&gt;I don't know / Prefer not to say/ I am not the complainant",#REF!,
"&lt;&gt;-",#REF!,
"Yes",#REF!,
J$1)</f>
        <v>#REF!</v>
      </c>
      <c r="K3" s="109" t="e">
        <f>COUNTIFS(#REF!,"yes",#REF!,
"Yes",#REF!,
K$1)
/
COUNTIFS(#REF!,"&lt;&gt;I don't know / Prefer not to say/ I am not the complainant",#REF!,
"&lt;&gt;-",#REF!,
"Yes",#REF!,
K$1)</f>
        <v>#REF!</v>
      </c>
      <c r="L3" s="110" t="e">
        <f>COUNTIFS(#REF!,"yes",#REF!,
"Yes",#REF!,
L$1)
/
COUNTIFS(#REF!,"&lt;&gt;I don't know / Prefer not to say/ I am not the complainant",#REF!,
"&lt;&gt;-",#REF!,
"Yes",#REF!,
L$1)</f>
        <v>#REF!</v>
      </c>
      <c r="M3" s="110" t="s">
        <v>139</v>
      </c>
      <c r="N3" s="111" t="s">
        <v>139</v>
      </c>
      <c r="O3" s="109" t="e">
        <f>COUNTIFS(#REF!,"yes",#REF!,
"Yes",#REF!,
O$1)
/
COUNTIFS(#REF!,"&lt;&gt;I don't know / Prefer not to say/ I am not the complainant",#REF!,
"&lt;&gt;-",#REF!,
"Yes",#REF!,
O$1)</f>
        <v>#REF!</v>
      </c>
      <c r="P3" s="110" t="e">
        <f>COUNTIFS(#REF!,"yes",#REF!,
"Yes",#REF!,
P$1)
/
COUNTIFS(#REF!,"&lt;&gt;I don't know / Prefer not to say/ I am not the complainant",#REF!,
"&lt;&gt;-",#REF!,
"Yes",#REF!,
P$1)</f>
        <v>#REF!</v>
      </c>
      <c r="Q3" s="111" t="e">
        <f>COUNTIFS(#REF!,"yes",#REF!,
"Yes",#REF!,
"&lt;&gt;Complaint was fully investigated and the complaint was fully or partially upheld",#REF!,
"&lt;&gt;Complaint was fully investigated and the complaint was not upheld")
/
COUNTIFS(#REF!,"&lt;&gt;I don't know / Prefer not to say/ I am not the complainant",#REF!,
"&lt;&gt;-",#REF!,
"Yes",#REF!,
"&lt;&gt;Complaint was fully investigated and the complaint was fully or partially upheld",#REF!,
"&lt;&gt;Complaint was fully investigated and the complaint was not upheld")</f>
        <v>#REF!</v>
      </c>
    </row>
    <row r="4" spans="1:18" s="1" customFormat="1">
      <c r="A4" s="71" t="s">
        <v>155</v>
      </c>
      <c r="B4" s="72" t="s">
        <v>18</v>
      </c>
      <c r="C4" s="73" t="e">
        <f t="shared" si="0"/>
        <v>#REF!</v>
      </c>
      <c r="D4" s="73" t="e">
        <f>COUNTIFS(#REF!,"Yes",#REF!,
"Complainant (i.e. you made a Service Complaint in writing)",#REF!,
"Yes")
/
COUNTIFS(#REF!,"&lt;&gt;I don't know / Prefer not to say",#REF!,
"&lt;&gt;-",#REF!,
"Complainant (i.e. you made a Service Complaint in writing)",#REF!,
"Yes")</f>
        <v>#REF!</v>
      </c>
      <c r="E4" s="74" t="e">
        <f>COUNTIFS(#REF!,"Neutral",#REF!,
"Complainant (i.e. you made a Service Complaint in writing)",#REF!,
"Yes")
/
COUNTIFS(#REF!,"&lt;&gt;I don't know / Prefer not to say",#REF!,
"&lt;&gt;-",#REF!,
"Complainant (i.e. you made a Service Complaint in writing)",#REF!,
"Yes")</f>
        <v>#REF!</v>
      </c>
      <c r="F4" s="75" t="e">
        <f>COUNTIFS(#REF!,"No",#REF!,
"Complainant (i.e. you made a Service Complaint in writing)",#REF!,
"Yes")
/
COUNTIFS(#REF!,"&lt;&gt;I don't know / Prefer not to say",#REF!,
"&lt;&gt;-",#REF!,
"Complainant (i.e. you made a Service Complaint in writing)",#REF!,
"Yes")</f>
        <v>#REF!</v>
      </c>
      <c r="G4" s="112" t="e">
        <f>COUNTIFS(#REF!,"Yes",#REF!,
"Yes",#REF!,
"Complainant (i.e. you made a Service Complaint in writing)",#REF!,
G$1)
/
COUNTIFS(#REF!,"&lt;&gt;I don't know / Prefer not to say",#REF!,
"&lt;&gt;-",#REF!,
"Yes",#REF!,
"Complainant (i.e. you made a Service Complaint in writing)",#REF!,
G$1)</f>
        <v>#REF!</v>
      </c>
      <c r="H4" s="113" t="e">
        <f>COUNTIFS(#REF!,"Yes",#REF!,
"Yes",#REF!,
"Complainant (i.e. you made a Service Complaint in writing)",#REF!,
H$1)
/
COUNTIFS(#REF!,"&lt;&gt;I don't know / Prefer not to say",#REF!,
"&lt;&gt;-",#REF!,
"Yes",#REF!,
"Complainant (i.e. you made a Service Complaint in writing)",#REF!,
H$1)</f>
        <v>#REF!</v>
      </c>
      <c r="I4" s="113" t="e">
        <f>COUNTIFS(#REF!,"Yes",#REF!,
"Yes",#REF!,
"Complainant (i.e. you made a Service Complaint in writing)",#REF!,
I$1)
/
COUNTIFS(#REF!,"&lt;&gt;I don't know / Prefer not to say",#REF!,
"&lt;&gt;-",#REF!,
"Yes",#REF!,
"Complainant (i.e. you made a Service Complaint in writing)",#REF!,
I$1)</f>
        <v>#REF!</v>
      </c>
      <c r="J4" s="114" t="e">
        <f>COUNTIFS(#REF!,"Yes",#REF!,
"Yes",#REF!,
"Complainant (i.e. you made a Service Complaint in writing)",#REF!,
J$1)
/
COUNTIFS(#REF!,"&lt;&gt;I don't know / Prefer not to say",#REF!,
"&lt;&gt;-",#REF!,
"Yes",#REF!,
"Complainant (i.e. you made a Service Complaint in writing)",#REF!,
J$1)</f>
        <v>#REF!</v>
      </c>
      <c r="K4" s="115" t="e">
        <f>COUNTIFS(#REF!,"Yes",#REF!,
"Yes",#REF!,
"Complainant (i.e. you made a Service Complaint in writing)",#REF!,
K$1)
/
COUNTIFS(#REF!,"&lt;&gt;I don't know / Prefer not to say",#REF!,
"&lt;&gt;-",#REF!,
"Yes",#REF!,
"Complainant (i.e. you made a Service Complaint in writing)",#REF!,
K$1)</f>
        <v>#REF!</v>
      </c>
      <c r="L4" s="113" t="s">
        <v>139</v>
      </c>
      <c r="M4" s="113" t="s">
        <v>139</v>
      </c>
      <c r="N4" s="114" t="s">
        <v>139</v>
      </c>
      <c r="O4" s="112" t="e">
        <f>COUNTIFS(#REF!,"Yes",#REF!,
"Yes",#REF!,
"Complainant (i.e. you made a Service Complaint in writing)",#REF!,
O$1)
/
COUNTIFS(#REF!,"&lt;&gt;I don't know / Prefer not to say",#REF!,
"&lt;&gt;-",#REF!,
"Yes",#REF!,
"Complainant (i.e. you made a Service Complaint in writing)",#REF!,
O$1)</f>
        <v>#REF!</v>
      </c>
      <c r="P4" s="113" t="e">
        <f>COUNTIFS(#REF!,"Yes",#REF!,
"Yes",#REF!,
"Complainant (i.e. you made a Service Complaint in writing)",#REF!,
P$1)
/
COUNTIFS(#REF!,"&lt;&gt;I don't know / Prefer not to say",#REF!,
"&lt;&gt;-",#REF!,
"Yes",#REF!,
"Complainant (i.e. you made a Service Complaint in writing)",#REF!,
P$1)</f>
        <v>#REF!</v>
      </c>
      <c r="Q4" s="114" t="e">
        <f>COUNTIFS(#REF!,"Yes",#REF!,
"Yes",#REF!,
"Complainant (i.e. you made a Service Complaint in writing)",#REF!,
"&lt;&gt;Complaint was fully investigated and the complaint was fully or partially upheld",#REF!,
"&lt;&gt;Complaint was fully investigated and the complaint was not upheld")
/
COUNTIFS(#REF!,"&lt;&gt;I don't know / Prefer not to say",#REF!,
"&lt;&gt;-",#REF!,
"Yes",#REF!,
"Complainant (i.e. you made a Service Complaint in writing)",#REF!,
"&lt;&gt;Complaint was fully investigated and the complaint was fully or partially upheld",#REF!,
"&lt;&gt;Complaint was fully investigated and the complaint was not upheld")</f>
        <v>#REF!</v>
      </c>
      <c r="R4"/>
    </row>
    <row r="5" spans="1:18">
      <c r="A5" t="s">
        <v>156</v>
      </c>
      <c r="B5" s="44" t="s">
        <v>12</v>
      </c>
      <c r="C5" s="45" t="e">
        <f t="shared" si="0"/>
        <v>#REF!</v>
      </c>
      <c r="D5" s="45" t="e">
        <f>COUNTIFS(#REF!,"Helpful",#REF!,
"Yes")
/
COUNTIFS(#REF!,"&lt;&gt;I don't know/ I prefer not to say",#REF!,
"&lt;&gt;-",#REF!,
"Yes")</f>
        <v>#REF!</v>
      </c>
      <c r="E5" s="46" t="e">
        <f>COUNTIFS(#REF!,"Neutral",#REF!,
"Yes")
/
COUNTIFS(#REF!,"&lt;&gt;I don't know/ I prefer not to say",#REF!,
"&lt;&gt;-",#REF!,
"Yes")</f>
        <v>#REF!</v>
      </c>
      <c r="F5" s="47" t="e">
        <f>COUNTIFS(#REF!,"Not Helpful",#REF!,
"Yes")
/
COUNTIFS(#REF!,"&lt;&gt;I don't know/ I prefer not to say",#REF!,
"&lt;&gt;-",#REF!,
"Yes")</f>
        <v>#REF!</v>
      </c>
      <c r="G5" s="109" t="e">
        <f>COUNTIFS(#REF!,"Helpful",#REF!,
"Yes",#REF!,
G$1)
/
COUNTIFS(#REF!,"&lt;&gt;I don't know/ I prefer not to say",#REF!,
"&lt;&gt;-",#REF!,
"Yes",#REF!,
G$1)</f>
        <v>#REF!</v>
      </c>
      <c r="H5" s="110" t="e">
        <f>COUNTIFS(#REF!,"Helpful",#REF!,
"Yes",#REF!,
H$1)
/
COUNTIFS(#REF!,"&lt;&gt;I don't know/ I prefer not to say",#REF!,
"&lt;&gt;-",#REF!,
"Yes",#REF!,
H$1)</f>
        <v>#REF!</v>
      </c>
      <c r="I5" s="110" t="e">
        <f>COUNTIFS(#REF!,"Helpful",#REF!,
"Yes",#REF!,
I$1)
/
COUNTIFS(#REF!,"&lt;&gt;I don't know/ I prefer not to say",#REF!,
"&lt;&gt;-",#REF!,
"Yes",#REF!,
I$1)</f>
        <v>#REF!</v>
      </c>
      <c r="J5" s="111" t="e">
        <f>COUNTIFS(#REF!,"Helpful",#REF!,
"Yes",#REF!,
J$1)
/
COUNTIFS(#REF!,"&lt;&gt;I don't know/ I prefer not to say",#REF!,
"&lt;&gt;-",#REF!,
"Yes",#REF!,
J$1)</f>
        <v>#REF!</v>
      </c>
      <c r="K5" s="109" t="e">
        <f>COUNTIFS(#REF!,"Helpful",#REF!,
"Yes",#REF!,
K$1)
/
COUNTIFS(#REF!,"&lt;&gt;I don't know/ I prefer not to say",#REF!,
"&lt;&gt;-",#REF!,
"Yes",#REF!,
K$1)</f>
        <v>#REF!</v>
      </c>
      <c r="L5" s="110" t="e">
        <f>COUNTIFS(#REF!,"Helpful",#REF!,
"Yes",#REF!,
L$1)
/
COUNTIFS(#REF!,"&lt;&gt;I don't know/ I prefer not to say",#REF!,
"&lt;&gt;-",#REF!,
"Yes",#REF!,
L$1)</f>
        <v>#REF!</v>
      </c>
      <c r="M5" s="110" t="e">
        <f>COUNTIFS(#REF!,"Helpful",#REF!,
"Yes",#REF!,
M$1)
/
COUNTIFS(#REF!,"&lt;&gt;I don't know/ I prefer not to say",#REF!,
"&lt;&gt;-",#REF!,
"Yes",#REF!,
M$1)</f>
        <v>#REF!</v>
      </c>
      <c r="N5" s="111" t="e">
        <f>COUNTIFS(#REF!,"Helpful",#REF!,
"Yes",#REF!,
N$1)
/
COUNTIFS(#REF!,"&lt;&gt;I don't know/ I prefer not to say",#REF!,
"&lt;&gt;-",#REF!,
"Yes",#REF!,
N$1)</f>
        <v>#REF!</v>
      </c>
      <c r="O5" s="109" t="e">
        <f>COUNTIFS(#REF!,"Helpful",#REF!,
"Yes",#REF!,
O$1)
/
COUNTIFS(#REF!,"&lt;&gt;I don't know/ I prefer not to say",#REF!,
"&lt;&gt;-",#REF!,
"Yes",#REF!,
O$1)</f>
        <v>#REF!</v>
      </c>
      <c r="P5" s="110" t="e">
        <f>COUNTIFS(#REF!,"Helpful",#REF!,
"Yes",#REF!,
P$1)
/
COUNTIFS(#REF!,"&lt;&gt;I don't know/ I prefer not to say",#REF!,
"&lt;&gt;-",#REF!,
"Yes",#REF!,
P$1)</f>
        <v>#REF!</v>
      </c>
      <c r="Q5" s="111" t="e">
        <f>COUNTIFS(#REF!,"Helpful",#REF!,
"Yes",#REF!,
"&lt;&gt;Complaint was fully investigated and the complaint was fully or partially upheld",#REF!,
"&lt;&gt;Complaint was fully investigated and the complaint was not upheld")
/
COUNTIFS(#REF!,"&lt;&gt;I don't know/ I prefer not to say",#REF!,
"&lt;&gt;-",#REF!,
"Yes",#REF!,
"&lt;&gt;Complaint was fully investigated and the complaint was fully or partially upheld",#REF!,
"&lt;&gt;Complaint was fully investigated and the complaint was not upheld")</f>
        <v>#REF!</v>
      </c>
    </row>
    <row r="6" spans="1:18">
      <c r="A6" t="s">
        <v>158</v>
      </c>
      <c r="B6" s="44" t="s">
        <v>5</v>
      </c>
      <c r="C6" s="45" t="e">
        <f t="shared" si="0"/>
        <v>#REF!</v>
      </c>
      <c r="D6" s="45" t="e">
        <f>COUNTIFS(#REF!,"yes",#REF!,
"No")
/
COUNTIFS(#REF!,"&lt;&gt;I don't know/ I prefer not to say",#REF!,
"&lt;&gt;-",#REF!,
"No")</f>
        <v>#REF!</v>
      </c>
      <c r="E6" s="46" t="e">
        <f>COUNTIFS(#REF!,"Neutral",#REF!,
"No")
/
COUNTIFS(#REF!,"&lt;&gt;I don't know/ I prefer not to say",#REF!,
"&lt;&gt;-",#REF!,
"No")</f>
        <v>#REF!</v>
      </c>
      <c r="F6" s="47" t="e">
        <f>COUNTIFS(#REF!,"No",#REF!,
"No")
/
COUNTIFS(#REF!,"&lt;&gt;I don't know/ I prefer not to say",#REF!,
"&lt;&gt;-",#REF!,
"No")</f>
        <v>#REF!</v>
      </c>
      <c r="G6" s="48"/>
      <c r="H6" s="49"/>
      <c r="I6" s="49"/>
      <c r="J6" s="50"/>
      <c r="K6" s="48"/>
      <c r="L6" s="49"/>
      <c r="M6" s="49"/>
      <c r="N6" s="50"/>
      <c r="O6" s="48"/>
      <c r="P6" s="49"/>
      <c r="Q6" s="50"/>
    </row>
    <row r="7" spans="1:18" s="1" customFormat="1">
      <c r="A7" t="s">
        <v>160</v>
      </c>
      <c r="B7" s="44" t="s">
        <v>4</v>
      </c>
      <c r="C7" s="45" t="e">
        <f t="shared" si="0"/>
        <v>#REF!</v>
      </c>
      <c r="D7" s="45" t="e">
        <f>COUNTIFS(#REF!,"yes",#REF!,
"No")
/
COUNTIFS(#REF!,"&lt;&gt;I didn't know that the Ombudsman existed/ I prefer not to say",#REF!,
"&lt;&gt;-",#REF!,
"No")</f>
        <v>#REF!</v>
      </c>
      <c r="E7" s="46" t="e">
        <f>COUNTIFS(#REF!,"Neutral",#REF!,
"No")
/
COUNTIFS(#REF!,"&lt;&gt;I didn't know that the Ombudsman existed/ I prefer not to say",#REF!,
"&lt;&gt;-",#REF!,
"No")</f>
        <v>#REF!</v>
      </c>
      <c r="F7" s="47" t="e">
        <f>COUNTIFS(#REF!,"No",#REF!,
"No")
/
COUNTIFS(#REF!,"&lt;&gt;I didn't know that the Ombudsman existed/ I prefer not to say",#REF!,
"&lt;&gt;-",#REF!,
"No")</f>
        <v>#REF!</v>
      </c>
      <c r="G7" s="48"/>
      <c r="H7" s="49"/>
      <c r="I7" s="49"/>
      <c r="J7" s="50"/>
      <c r="K7" s="48"/>
      <c r="L7" s="49"/>
      <c r="M7" s="49"/>
      <c r="N7" s="50"/>
      <c r="O7" s="48"/>
      <c r="P7" s="49"/>
      <c r="Q7" s="50"/>
    </row>
    <row r="8" spans="1:18">
      <c r="A8" t="s">
        <v>162</v>
      </c>
      <c r="B8" s="44" t="s">
        <v>3</v>
      </c>
      <c r="C8" s="45" t="e">
        <f t="shared" si="0"/>
        <v>#REF!</v>
      </c>
      <c r="D8" s="45" t="e">
        <f>COUNTIFS(#REF!,"yes",#REF!,
"No")
/
COUNTIFS(#REF!,"&lt;&gt;I didn't know SCOAF existed/ I prefer not to say",#REF!,
"&lt;&gt;I haven't sought any information on SCOAF",#REF!,
"&lt;&gt;-",#REF!,
"No")</f>
        <v>#REF!</v>
      </c>
      <c r="E8" s="46" t="e">
        <f>COUNTIFS(#REF!,"Neutral",#REF!,
"No")
/
COUNTIFS(#REF!,"&lt;&gt;I didn't know SCOAF existed/ I prefer not to say",#REF!,
"&lt;&gt;I haven't sought any information on SCOAF",#REF!,
"&lt;&gt;-",#REF!,
"No")</f>
        <v>#REF!</v>
      </c>
      <c r="F8" s="47" t="e">
        <f>COUNTIFS(#REF!,"No",#REF!,
"No")
/
COUNTIFS(#REF!,"&lt;&gt;I didn't know SCOAF existed/ I prefer not to say",#REF!,
"&lt;&gt;I haven't sought any information on SCOAF",#REF!,
"&lt;&gt;-",#REF!,
"No")</f>
        <v>#REF!</v>
      </c>
      <c r="G8" s="48"/>
      <c r="H8" s="49"/>
      <c r="I8" s="49"/>
      <c r="J8" s="50"/>
      <c r="K8" s="48"/>
      <c r="L8" s="49"/>
      <c r="M8" s="49"/>
      <c r="N8" s="50"/>
      <c r="O8" s="48"/>
      <c r="P8" s="49"/>
      <c r="Q8" s="50"/>
    </row>
    <row r="9" spans="1:18">
      <c r="A9" t="s">
        <v>164</v>
      </c>
      <c r="B9" s="44" t="s">
        <v>2</v>
      </c>
      <c r="C9" s="45" t="e">
        <f t="shared" si="0"/>
        <v>#REF!</v>
      </c>
      <c r="D9" s="45" t="e">
        <f>COUNTIFS(#REF!,"yes",#REF!,
"No")
/
COUNTIFS(#REF!,"&lt;&gt;I didn't know SCOAF existed/ I prefer not to say",#REF!,
"&lt;&gt;I haven't sought any information on SCOAF",#REF!,
"&lt;&gt;-",#REF!,
"No")</f>
        <v>#REF!</v>
      </c>
      <c r="E9" s="46" t="e">
        <f>COUNTIFS(#REF!,"Neutral",#REF!,
"No")
/
COUNTIFS(#REF!,"&lt;&gt;I didn't know SCOAF existed/ I prefer not to say",#REF!,
"&lt;&gt;I haven't sought any information on SCOAF",#REF!,
"&lt;&gt;-",#REF!,
"No")</f>
        <v>#REF!</v>
      </c>
      <c r="F9" s="47" t="e">
        <f>COUNTIFS(#REF!,"No",#REF!,
"No")
/
COUNTIFS(#REF!,"&lt;&gt;I didn't know SCOAF existed/ I prefer not to say",#REF!,
"&lt;&gt;I haven't sought any information on SCOAF",#REF!,
"&lt;&gt;-",#REF!,
"No")</f>
        <v>#REF!</v>
      </c>
      <c r="G9" s="48"/>
      <c r="H9" s="49"/>
      <c r="I9" s="49"/>
      <c r="J9" s="50"/>
      <c r="K9" s="48"/>
      <c r="L9" s="49"/>
      <c r="M9" s="49"/>
      <c r="N9" s="50"/>
      <c r="O9" s="48"/>
      <c r="P9" s="49"/>
      <c r="Q9" s="50"/>
    </row>
    <row r="10" spans="1:18">
      <c r="B10" s="55"/>
      <c r="C10" s="56"/>
      <c r="D10" s="56"/>
      <c r="E10" s="6"/>
      <c r="F10" s="57"/>
      <c r="G10" s="56"/>
      <c r="H10" s="6"/>
      <c r="I10" s="6"/>
      <c r="J10" s="57"/>
      <c r="K10" s="56"/>
      <c r="L10" s="6"/>
      <c r="M10" s="6"/>
      <c r="N10" s="57"/>
      <c r="O10" s="56"/>
      <c r="P10" s="6"/>
      <c r="Q10" s="57"/>
    </row>
    <row r="11" spans="1:18">
      <c r="C11" s="56"/>
      <c r="D11" s="56"/>
      <c r="E11" s="6"/>
      <c r="F11" s="57"/>
      <c r="G11" s="56"/>
      <c r="H11" s="6"/>
      <c r="I11" s="6"/>
      <c r="J11" s="57"/>
      <c r="K11" s="56"/>
      <c r="L11" s="6"/>
      <c r="M11" s="6"/>
      <c r="N11" s="57"/>
      <c r="O11" s="56"/>
      <c r="P11" s="6"/>
      <c r="Q11" s="57"/>
    </row>
    <row r="12" spans="1:18">
      <c r="A12" s="70" t="s">
        <v>165</v>
      </c>
      <c r="B12" s="80" t="s">
        <v>25</v>
      </c>
      <c r="C12" s="77" t="e">
        <f t="shared" ref="C12:C18" si="1">SUM(D12:F12)</f>
        <v>#REF!</v>
      </c>
      <c r="D12" s="77" t="e">
        <f>COUNTIFS(#REF!,"Yes",#REF!,
"Complainant (i.e. you made a Service Complaint in writing)",#REF!,
"Yes",#REF!,"&lt;&gt;-",#REF!,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
/
COUNTIFS(#REF!,"&lt;&gt;I don't know / Prefer not to say",#REF!,
"&lt;&gt;-",#REF!,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f>
        <v>#REF!</v>
      </c>
      <c r="E12" s="78" t="e">
        <f>COUNTIFS(#REF!,"Neutral",#REF!,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
/
COUNTIFS(#REF!,"&lt;&gt;I don't know / Prefer not to say",#REF!,
"&lt;&gt;-",#REF!,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f>
        <v>#REF!</v>
      </c>
      <c r="F12" s="79" t="e">
        <f>COUNTIFS(#REF!,"No",#REF!,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
/
COUNTIFS(#REF!,"&lt;&gt;I don't know / Prefer not to say",#REF!,
"&lt;&gt;-",#REF!,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f>
        <v>#REF!</v>
      </c>
      <c r="G12" s="116" t="e">
        <f>COUNTIFS(#REF!,"Yes",#REF!,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G$1)
/
COUNTIFS(#REF!,"&lt;&gt;I don't know / Prefer not to say",#REF!,
"&lt;&gt;-",#REF!,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G$1)</f>
        <v>#REF!</v>
      </c>
      <c r="H12" s="117" t="e">
        <f>COUNTIFS(#REF!,"Yes",#REF!,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H$1)
/
COUNTIFS(#REF!,"&lt;&gt;I don't know / Prefer not to say",#REF!,
"&lt;&gt;-",#REF!,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H$1)</f>
        <v>#REF!</v>
      </c>
      <c r="I12" s="117" t="e">
        <f>COUNTIFS(#REF!,"Yes",#REF!,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I$1)
/
COUNTIFS(#REF!,"&lt;&gt;I don't know / Prefer not to say",#REF!,
"&lt;&gt;-",#REF!,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I$1)</f>
        <v>#REF!</v>
      </c>
      <c r="J12" s="118" t="e">
        <f>COUNTIFS(#REF!,"Yes",#REF!,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J$1)
/
COUNTIFS(#REF!,"&lt;&gt;I don't know / Prefer not to say",#REF!,
"&lt;&gt;-",#REF!,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J$1)</f>
        <v>#REF!</v>
      </c>
      <c r="K12" s="116" t="e">
        <f>COUNTIFS(#REF!,"Yes",#REF!,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K$1)
/
COUNTIFS(#REF!,"&lt;&gt;I don't know / Prefer not to say",#REF!,
"&lt;&gt;-",#REF!,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K$1)</f>
        <v>#REF!</v>
      </c>
      <c r="L12" s="117" t="s">
        <v>139</v>
      </c>
      <c r="M12" s="117" t="s">
        <v>139</v>
      </c>
      <c r="N12" s="118" t="s">
        <v>139</v>
      </c>
      <c r="O12" s="116" t="e">
        <f>COUNTIFS(#REF!,"Yes",#REF!,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O$1)
/
COUNTIFS(#REF!,"&lt;&gt;I don't know / Prefer not to say",#REF!,
"&lt;&gt;-",#REF!,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O$1)</f>
        <v>#REF!</v>
      </c>
      <c r="P12" s="117" t="e">
        <f>COUNTIFS(#REF!,"Yes",#REF!,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P$1)
/
COUNTIFS(#REF!,"&lt;&gt;I don't know / Prefer not to say",#REF!,
"&lt;&gt;-",#REF!,
"Complainant (i.e. you made a Service Complaint in writing)",#REF!,
"Yes",#REF!,
"&lt;&gt;-",#REF!,
"&lt;&gt;Complaint investigation is still ongoing",#REF!,
"&lt;&gt;Complaint was partly investigated but the investigation stopped early as the complaint was resolved/withdrawn",#REF!,
"&lt;&gt;Complaint was not investigated at all",#REF!,
"&lt;&gt;Not sure what happened to the complaint",#REF!,
"&lt;&gt;Prefer not to say",#REF!,
P$1)</f>
        <v>#REF!</v>
      </c>
      <c r="Q12" s="118" t="s">
        <v>139</v>
      </c>
      <c r="R12" s="89"/>
    </row>
    <row r="13" spans="1:18">
      <c r="A13" t="s">
        <v>166</v>
      </c>
      <c r="B13" s="58" t="s">
        <v>24</v>
      </c>
      <c r="C13" s="59" t="e">
        <f t="shared" si="1"/>
        <v>#REF!</v>
      </c>
      <c r="D13" s="59" t="e">
        <f>COUNTIFS(#REF!,"Yes",#REF!,
"Yes")
/
COUNTIFS(#REF!,"&lt;&gt;I don't know / Prefer not to say",#REF!,
"&lt;&gt;-",#REF!,
"Yes")</f>
        <v>#REF!</v>
      </c>
      <c r="E13" s="60" t="e">
        <f>COUNTIFS(#REF!,"Neutral",#REF!,
"Yes")
/
COUNTIFS(#REF!,"&lt;&gt;I don't know / Prefer not to say",#REF!,
"&lt;&gt;-",#REF!,
"Yes")</f>
        <v>#REF!</v>
      </c>
      <c r="F13" s="61" t="e">
        <f>COUNTIFS(#REF!,"No",#REF!,
"Yes")
/
COUNTIFS(#REF!,"&lt;&gt;I don't know / Prefer not to say",#REF!,
"&lt;&gt;-",#REF!,
"Yes")</f>
        <v>#REF!</v>
      </c>
      <c r="G13" s="119" t="e">
        <f>COUNTIFS(#REF!,"Yes",#REF!,
"Yes",#REF!,
G$1)
/
COUNTIFS(#REF!,"&lt;&gt;I don't know / Prefer not to say",#REF!,
"&lt;&gt;-",#REF!,
"Yes",#REF!,
G$1)</f>
        <v>#REF!</v>
      </c>
      <c r="H13" s="120" t="e">
        <f>COUNTIFS(#REF!,"Yes",#REF!,
"Yes",#REF!,
H$1)
/
COUNTIFS(#REF!,"&lt;&gt;I don't know / Prefer not to say",#REF!,
"&lt;&gt;-",#REF!,
"Yes",#REF!,
H$1)</f>
        <v>#REF!</v>
      </c>
      <c r="I13" s="120" t="e">
        <f>COUNTIFS(#REF!,"Yes",#REF!,
"Yes",#REF!,
I$1)
/
COUNTIFS(#REF!,"&lt;&gt;I don't know / Prefer not to say",#REF!,
"&lt;&gt;-",#REF!,
"Yes",#REF!,
I$1)</f>
        <v>#REF!</v>
      </c>
      <c r="J13" s="121" t="e">
        <f>COUNTIFS(#REF!,"Yes",#REF!,
"Yes",#REF!,
J$1)
/
COUNTIFS(#REF!,"&lt;&gt;I don't know / Prefer not to say",#REF!,
"&lt;&gt;-",#REF!,
"Yes",#REF!,
J$1)</f>
        <v>#REF!</v>
      </c>
      <c r="K13" s="119" t="e">
        <f>COUNTIFS(#REF!,"Yes",#REF!,
"Yes",#REF!,
K$1)
/
COUNTIFS(#REF!,"&lt;&gt;I don't know / Prefer not to say",#REF!,
"&lt;&gt;-",#REF!,
"Yes",#REF!,
K$1)</f>
        <v>#REF!</v>
      </c>
      <c r="L13" s="120" t="e">
        <f>COUNTIFS(#REF!,"Yes",#REF!,
"Yes",#REF!,
L$1)
/
COUNTIFS(#REF!,"&lt;&gt;I don't know / Prefer not to say",#REF!,
"&lt;&gt;-",#REF!,
"Yes",#REF!,
L$1)</f>
        <v>#REF!</v>
      </c>
      <c r="M13" s="120" t="s">
        <v>139</v>
      </c>
      <c r="N13" s="121" t="s">
        <v>139</v>
      </c>
      <c r="O13" s="119" t="e">
        <f>COUNTIFS(#REF!,"Yes",#REF!,
"Yes",#REF!,
O$1)
/
COUNTIFS(#REF!,"&lt;&gt;I don't know / Prefer not to say",#REF!,
"&lt;&gt;-",#REF!,
"Yes",#REF!,
O$1)</f>
        <v>#REF!</v>
      </c>
      <c r="P13" s="120" t="e">
        <f>COUNTIFS(#REF!,"Yes",#REF!,
"Yes",#REF!,
P$1)
/
COUNTIFS(#REF!,"&lt;&gt;I don't know / Prefer not to say",#REF!,
"&lt;&gt;-",#REF!,
"Yes",#REF!,
P$1)</f>
        <v>#REF!</v>
      </c>
      <c r="Q13" s="121" t="e">
        <f>COUNTIFS(#REF!,"Yes",#REF!,
"Yes",#REF!,
"&lt;&gt;Complaint was fully investigated and the complaint was fully or partially upheld",#REF!,
"&lt;&gt;Complaint was fully investigated and the complaint was not upheld")
/
COUNTIFS(#REF!,"&lt;&gt;I don't know / Prefer not to say",#REF!,
"&lt;&gt;-",#REF!,
"Yes",#REF!,
"&lt;&gt;Complaint was fully investigated and the complaint was fully or partially upheld",#REF!,
"&lt;&gt;Complaint was fully investigated and the complaint was not upheld")</f>
        <v>#REF!</v>
      </c>
      <c r="R13" s="89"/>
    </row>
    <row r="14" spans="1:18">
      <c r="A14" t="s">
        <v>167</v>
      </c>
      <c r="B14" s="58" t="s">
        <v>23</v>
      </c>
      <c r="C14" s="59" t="e">
        <f t="shared" si="1"/>
        <v>#REF!</v>
      </c>
      <c r="D14" s="59" t="e">
        <f>COUNTIFS(#REF!,"Yes",#REF!,
"Yes")
/
COUNTIFS(#REF!,"&lt;&gt;I don't know / Prefer not to say",#REF!,
"&lt;&gt;-",#REF!,
"Yes")</f>
        <v>#REF!</v>
      </c>
      <c r="E14" s="60" t="e">
        <f>COUNTIFS(#REF!,"Neutral",#REF!,
"Yes")
/
COUNTIFS(#REF!,"&lt;&gt;I don't know / Prefer not to say",#REF!,
"&lt;&gt;-",#REF!,
"Yes")</f>
        <v>#REF!</v>
      </c>
      <c r="F14" s="61" t="e">
        <f>COUNTIFS(#REF!,"No",#REF!,
"Yes")
/
COUNTIFS(#REF!,"&lt;&gt;I don't know / Prefer not to say",#REF!,
"&lt;&gt;-",#REF!,
"Yes")</f>
        <v>#REF!</v>
      </c>
      <c r="G14" s="119" t="e">
        <f>COUNTIFS(#REF!,"Yes",#REF!,
"Yes",#REF!,
G$1)
/
COUNTIFS(#REF!,"&lt;&gt;I don't know / Prefer not to say",#REF!,
"&lt;&gt;-",#REF!,
"Yes",#REF!,
G$1)</f>
        <v>#REF!</v>
      </c>
      <c r="H14" s="120" t="e">
        <f>COUNTIFS(#REF!,"Yes",#REF!,
"Yes",#REF!,
H$1)
/
COUNTIFS(#REF!,"&lt;&gt;I don't know / Prefer not to say",#REF!,
"&lt;&gt;-",#REF!,
"Yes",#REF!,
H$1)</f>
        <v>#REF!</v>
      </c>
      <c r="I14" s="120" t="e">
        <f>COUNTIFS(#REF!,"Yes",#REF!,
"Yes",#REF!,
I$1)
/
COUNTIFS(#REF!,"&lt;&gt;I don't know / Prefer not to say",#REF!,
"&lt;&gt;-",#REF!,
"Yes",#REF!,
I$1)</f>
        <v>#REF!</v>
      </c>
      <c r="J14" s="121" t="e">
        <f>COUNTIFS(#REF!,"Yes",#REF!,
"Yes",#REF!,
J$1)
/
COUNTIFS(#REF!,"&lt;&gt;I don't know / Prefer not to say",#REF!,
"&lt;&gt;-",#REF!,
"Yes",#REF!,
J$1)</f>
        <v>#REF!</v>
      </c>
      <c r="K14" s="119" t="e">
        <f>COUNTIFS(#REF!,"Yes",#REF!,
"Yes",#REF!,
K$1)
/
COUNTIFS(#REF!,"&lt;&gt;I don't know / Prefer not to say",#REF!,
"&lt;&gt;-",#REF!,
"Yes",#REF!,
K$1)</f>
        <v>#REF!</v>
      </c>
      <c r="L14" s="120" t="e">
        <f>COUNTIFS(#REF!,"Yes",#REF!,
"Yes",#REF!,
L$1)
/
COUNTIFS(#REF!,"&lt;&gt;I don't know / Prefer not to say",#REF!,
"&lt;&gt;-",#REF!,
"Yes",#REF!,
L$1)</f>
        <v>#REF!</v>
      </c>
      <c r="M14" s="120" t="s">
        <v>139</v>
      </c>
      <c r="N14" s="121" t="s">
        <v>139</v>
      </c>
      <c r="O14" s="119" t="e">
        <f>COUNTIFS(#REF!,"Yes",#REF!,
"Yes",#REF!,
O$1)
/
COUNTIFS(#REF!,"&lt;&gt;I don't know / Prefer not to say",#REF!,
"&lt;&gt;-",#REF!,
"Yes",#REF!,
O$1)</f>
        <v>#REF!</v>
      </c>
      <c r="P14" s="120" t="e">
        <f>COUNTIFS(#REF!,"Yes",#REF!,
"Yes",#REF!,
P$1)
/
COUNTIFS(#REF!,"&lt;&gt;I don't know / Prefer not to say",#REF!,
"&lt;&gt;-",#REF!,
"Yes",#REF!,
P$1)</f>
        <v>#REF!</v>
      </c>
      <c r="Q14" s="121" t="e">
        <f>COUNTIFS(#REF!,"Yes",#REF!,
"Yes",#REF!,
"&lt;&gt;Complaint was fully investigated and the complaint was fully or partially upheld",#REF!,
"&lt;&gt;Complaint was fully investigated and the complaint was not upheld")
/
COUNTIFS(#REF!,"&lt;&gt;I don't know / Prefer not to say",#REF!,
"&lt;&gt;-",#REF!,
"Yes",#REF!,
"&lt;&gt;Complaint was fully investigated and the complaint was fully or partially upheld",#REF!,
"&lt;&gt;Complaint was fully investigated and the complaint was not upheld")</f>
        <v>#REF!</v>
      </c>
      <c r="R14" s="89"/>
    </row>
    <row r="15" spans="1:18">
      <c r="A15" t="s">
        <v>168</v>
      </c>
      <c r="B15" s="58" t="s">
        <v>22</v>
      </c>
      <c r="C15" s="59" t="e">
        <f t="shared" si="1"/>
        <v>#REF!</v>
      </c>
      <c r="D15" s="59" t="e">
        <f>COUNTIFS(#REF!,"Yes",#REF!,
"Yes")
/
COUNTIFS(#REF!,"&lt;&gt;I don't know / Prefer not to say",#REF!,
"&lt;&gt;-",#REF!,
"Yes")</f>
        <v>#REF!</v>
      </c>
      <c r="E15" s="60" t="e">
        <f>COUNTIFS(#REF!,"Neutral",#REF!,
"Yes")
/
COUNTIFS(#REF!,"&lt;&gt;I don't know / Prefer not to say",#REF!,
"&lt;&gt;-",#REF!,
"Yes")</f>
        <v>#REF!</v>
      </c>
      <c r="F15" s="61" t="e">
        <f>COUNTIFS(#REF!,"No",#REF!,
"Yes")
/
COUNTIFS(#REF!,"&lt;&gt;I don't know / Prefer not to say",#REF!,
"&lt;&gt;-",#REF!,
"Yes")</f>
        <v>#REF!</v>
      </c>
      <c r="G15" s="119" t="e">
        <f>COUNTIFS(#REF!,"Yes",#REF!,
"Yes",#REF!,
G$1)
/
COUNTIFS(#REF!,"&lt;&gt;I don't know / Prefer not to say",#REF!,
"&lt;&gt;-",#REF!,
"Yes",#REF!,
G$1)</f>
        <v>#REF!</v>
      </c>
      <c r="H15" s="120" t="e">
        <f>COUNTIFS(#REF!,"Yes",#REF!,
"Yes",#REF!,
H$1)
/
COUNTIFS(#REF!,"&lt;&gt;I don't know / Prefer not to say",#REF!,
"&lt;&gt;-",#REF!,
"Yes",#REF!,
H$1)</f>
        <v>#REF!</v>
      </c>
      <c r="I15" s="120" t="e">
        <f>COUNTIFS(#REF!,"Yes",#REF!,
"Yes",#REF!,
I$1)
/
COUNTIFS(#REF!,"&lt;&gt;I don't know / Prefer not to say",#REF!,
"&lt;&gt;-",#REF!,
"Yes",#REF!,
I$1)</f>
        <v>#REF!</v>
      </c>
      <c r="J15" s="121" t="e">
        <f>COUNTIFS(#REF!,"Yes",#REF!,
"Yes",#REF!,
J$1)
/
COUNTIFS(#REF!,"&lt;&gt;I don't know / Prefer not to say",#REF!,
"&lt;&gt;-",#REF!,
"Yes",#REF!,
J$1)</f>
        <v>#REF!</v>
      </c>
      <c r="K15" s="119" t="e">
        <f>COUNTIFS(#REF!,"Yes",#REF!,
"Yes",#REF!,
K$1)
/
COUNTIFS(#REF!,"&lt;&gt;I don't know / Prefer not to say",#REF!,
"&lt;&gt;-",#REF!,
"Yes",#REF!,
K$1)</f>
        <v>#REF!</v>
      </c>
      <c r="L15" s="120" t="e">
        <f>COUNTIFS(#REF!,"Yes",#REF!,
"Yes",#REF!,
L$1)
/
COUNTIFS(#REF!,"&lt;&gt;I don't know / Prefer not to say",#REF!,
"&lt;&gt;-",#REF!,
"Yes",#REF!,
L$1)</f>
        <v>#REF!</v>
      </c>
      <c r="M15" s="120" t="s">
        <v>139</v>
      </c>
      <c r="N15" s="121" t="s">
        <v>139</v>
      </c>
      <c r="O15" s="119" t="e">
        <f>COUNTIFS(#REF!,"Yes",#REF!,
"Yes",#REF!,
O$1)
/
COUNTIFS(#REF!,"&lt;&gt;I don't know / Prefer not to say",#REF!,
"&lt;&gt;-",#REF!,
"Yes",#REF!,
O$1)</f>
        <v>#REF!</v>
      </c>
      <c r="P15" s="120" t="e">
        <f>COUNTIFS(#REF!,"Yes",#REF!,
"Yes",#REF!,
P$1)
/
COUNTIFS(#REF!,"&lt;&gt;I don't know / Prefer not to say",#REF!,
"&lt;&gt;-",#REF!,
"Yes",#REF!,
P$1)</f>
        <v>#REF!</v>
      </c>
      <c r="Q15" s="121" t="e">
        <f>COUNTIFS(#REF!,"Yes",#REF!,
"Yes",#REF!,
"&lt;&gt;Complaint was fully investigated and the complaint was fully or partially upheld",#REF!,
"&lt;&gt;Complaint was fully investigated and the complaint was not upheld")
/
COUNTIFS(#REF!,"&lt;&gt;I don't know / Prefer not to say",#REF!,
"&lt;&gt;-",#REF!,
"Yes",#REF!,
"&lt;&gt;Complaint was fully investigated and the complaint was fully or partially upheld",#REF!,
"&lt;&gt;Complaint was fully investigated and the complaint was not upheld")</f>
        <v>#REF!</v>
      </c>
      <c r="R15" s="89"/>
    </row>
    <row r="16" spans="1:18">
      <c r="A16" t="s">
        <v>169</v>
      </c>
      <c r="B16" s="184" t="s">
        <v>21</v>
      </c>
      <c r="C16" s="59" t="e">
        <f t="shared" si="1"/>
        <v>#REF!</v>
      </c>
      <c r="D16" s="59" t="e">
        <f>COUNTIFS(#REF!,"Yes",#REF!,
"Yes")
/
COUNTIFS(#REF!,"&lt;&gt;I don't know / Prefer not to say",#REF!,
"&lt;&gt;-",#REF!,
"Yes")</f>
        <v>#REF!</v>
      </c>
      <c r="E16" s="60" t="e">
        <f>COUNTIFS(#REF!,"Neutral",#REF!,
"Yes")
/
COUNTIFS(#REF!,"&lt;&gt;I don't know / Prefer not to say",#REF!,
"&lt;&gt;-",#REF!,
"Yes")</f>
        <v>#REF!</v>
      </c>
      <c r="F16" s="61" t="e">
        <f>COUNTIFS(#REF!,"No",#REF!,
"Yes")
/
COUNTIFS(#REF!,"&lt;&gt;I don't know / Prefer not to say",#REF!,
"&lt;&gt;-",#REF!,
"Yes")</f>
        <v>#REF!</v>
      </c>
      <c r="G16" s="119" t="e">
        <f>COUNTIFS(#REF!,"Yes",#REF!,
"Yes",#REF!,
G$1)
/
COUNTIFS(#REF!,"&lt;&gt;I don't know / Prefer not to say",#REF!,
"&lt;&gt;-",#REF!,
"Yes",#REF!,
G$1)</f>
        <v>#REF!</v>
      </c>
      <c r="H16" s="120" t="e">
        <f>COUNTIFS(#REF!,"Yes",#REF!,
"Yes",#REF!,
H$1)
/
COUNTIFS(#REF!,"&lt;&gt;I don't know / Prefer not to say",#REF!,
"&lt;&gt;-",#REF!,
"Yes",#REF!,
H$1)</f>
        <v>#REF!</v>
      </c>
      <c r="I16" s="120" t="e">
        <f>COUNTIFS(#REF!,"Yes",#REF!,
"Yes",#REF!,
I$1)
/
COUNTIFS(#REF!,"&lt;&gt;I don't know / Prefer not to say",#REF!,
"&lt;&gt;-",#REF!,
"Yes",#REF!,
I$1)</f>
        <v>#REF!</v>
      </c>
      <c r="J16" s="121" t="e">
        <f>COUNTIFS(#REF!,"Yes",#REF!,
"Yes",#REF!,
J$1)
/
COUNTIFS(#REF!,"&lt;&gt;I don't know / Prefer not to say",#REF!,
"&lt;&gt;-",#REF!,
"Yes",#REF!,
J$1)</f>
        <v>#REF!</v>
      </c>
      <c r="K16" s="119" t="e">
        <f>COUNTIFS(#REF!,"Yes",#REF!,
"Yes",#REF!,
K$1)
/
COUNTIFS(#REF!,"&lt;&gt;I don't know / Prefer not to say",#REF!,
"&lt;&gt;-",#REF!,
"Yes",#REF!,
K$1)</f>
        <v>#REF!</v>
      </c>
      <c r="L16" s="120" t="e">
        <f>COUNTIFS(#REF!,"Yes",#REF!,
"Yes",#REF!,
L$1)
/
COUNTIFS(#REF!,"&lt;&gt;I don't know / Prefer not to say",#REF!,
"&lt;&gt;-",#REF!,
"Yes",#REF!,
L$1)</f>
        <v>#REF!</v>
      </c>
      <c r="M16" s="120" t="s">
        <v>139</v>
      </c>
      <c r="N16" s="121" t="s">
        <v>139</v>
      </c>
      <c r="O16" s="119" t="e">
        <f>COUNTIFS(#REF!,"Yes",#REF!,
"Yes",#REF!,
O$1)
/
COUNTIFS(#REF!,"&lt;&gt;I don't know / Prefer not to say",#REF!,
"&lt;&gt;-",#REF!,
"Yes",#REF!,
O$1)</f>
        <v>#REF!</v>
      </c>
      <c r="P16" s="120" t="e">
        <f>COUNTIFS(#REF!,"Yes",#REF!,
"Yes",#REF!,
P$1)
/
COUNTIFS(#REF!,"&lt;&gt;I don't know / Prefer not to say",#REF!,
"&lt;&gt;-",#REF!,
"Yes",#REF!,
P$1)</f>
        <v>#REF!</v>
      </c>
      <c r="Q16" s="121" t="e">
        <f>COUNTIFS(#REF!,"Yes",#REF!,
"Yes",#REF!,
"&lt;&gt;Complaint was fully investigated and the complaint was fully or partially upheld",#REF!,
"&lt;&gt;Complaint was fully investigated and the complaint was not upheld")
/
COUNTIFS(#REF!,"&lt;&gt;I don't know / Prefer not to say",#REF!,
"&lt;&gt;-",#REF!,
"Yes",#REF!,
"&lt;&gt;Complaint was fully investigated and the complaint was fully or partially upheld",#REF!,
"&lt;&gt;Complaint was fully investigated and the complaint was not upheld")</f>
        <v>#REF!</v>
      </c>
      <c r="R16" s="89"/>
    </row>
    <row r="17" spans="1:18">
      <c r="A17" t="s">
        <v>170</v>
      </c>
      <c r="B17" s="58" t="s">
        <v>20</v>
      </c>
      <c r="C17" s="59" t="e">
        <f t="shared" si="1"/>
        <v>#REF!</v>
      </c>
      <c r="D17" s="59" t="e">
        <f>COUNTIFS(#REF!,"Yes",#REF!,
"Yes")
/
COUNTIFS(#REF!,"&lt;&gt;I don't know / Prefer not to say",#REF!,
"&lt;&gt;-",#REF!,
"Yes")</f>
        <v>#REF!</v>
      </c>
      <c r="E17" s="60" t="e">
        <f>COUNTIFS(#REF!,"Neutral",#REF!,
"Yes")
/
COUNTIFS(#REF!,"&lt;&gt;I don't know / Prefer not to say",#REF!,
"&lt;&gt;-",#REF!,
"Yes")</f>
        <v>#REF!</v>
      </c>
      <c r="F17" s="61" t="e">
        <f>COUNTIFS(#REF!,"No",#REF!,
"Yes")
/
COUNTIFS(#REF!,"&lt;&gt;I don't know / Prefer not to say",#REF!,
"&lt;&gt;-",#REF!,
"Yes")</f>
        <v>#REF!</v>
      </c>
      <c r="G17" s="59" t="e">
        <f>COUNTIFS(#REF!,"No",#REF!,
"Yes",#REF!,
G$1)
/
COUNTIFS(#REF!,"&lt;&gt;I don't know / Prefer not to say",#REF!,
"&lt;&gt;-",#REF!,
"Yes",#REF!,
G$1)</f>
        <v>#REF!</v>
      </c>
      <c r="H17" s="60" t="e">
        <f>COUNTIFS(#REF!,"No",#REF!,
"Yes",#REF!,
H$1)
/
COUNTIFS(#REF!,"&lt;&gt;I don't know / Prefer not to say",#REF!,
"&lt;&gt;-",#REF!,
"Yes",#REF!,
H$1)</f>
        <v>#REF!</v>
      </c>
      <c r="I17" s="60" t="e">
        <f>COUNTIFS(#REF!,"No",#REF!,
"Yes",#REF!,
I$1)
/
COUNTIFS(#REF!,"&lt;&gt;I don't know / Prefer not to say",#REF!,
"&lt;&gt;-",#REF!,
"Yes",#REF!,
I$1)</f>
        <v>#REF!</v>
      </c>
      <c r="J17" s="61" t="e">
        <f>COUNTIFS(#REF!,"No",#REF!,
"Yes",#REF!,
J$1)
/
COUNTIFS(#REF!,"&lt;&gt;I don't know / Prefer not to say",#REF!,
"&lt;&gt;-",#REF!,
"Yes",#REF!,
J$1)</f>
        <v>#REF!</v>
      </c>
      <c r="K17" s="59" t="e">
        <f>COUNTIFS(#REF!,"No",#REF!,
"Yes",#REF!,
K$1)
/
COUNTIFS(#REF!,"&lt;&gt;I don't know / Prefer not to say",#REF!,
"&lt;&gt;-",#REF!,
"Yes",#REF!,
K$1)</f>
        <v>#REF!</v>
      </c>
      <c r="L17" s="60" t="e">
        <f>COUNTIFS(#REF!,"No",#REF!,
"Yes",#REF!,
L$1)
/
COUNTIFS(#REF!,"&lt;&gt;I don't know / Prefer not to say",#REF!,
"&lt;&gt;-",#REF!,
"Yes",#REF!,
L$1)</f>
        <v>#REF!</v>
      </c>
      <c r="M17" s="60" t="s">
        <v>139</v>
      </c>
      <c r="N17" s="61" t="s">
        <v>139</v>
      </c>
      <c r="O17" s="59" t="e">
        <f>COUNTIFS(#REF!,"No",#REF!,
"Yes",#REF!,
O$1)
/
COUNTIFS(#REF!,"&lt;&gt;I don't know / Prefer not to say",#REF!,
"&lt;&gt;-",#REF!,
"Yes",#REF!,
O$1)</f>
        <v>#REF!</v>
      </c>
      <c r="P17" s="60" t="e">
        <f>COUNTIFS(#REF!,"No",#REF!,
"Yes",#REF!,
P$1)
/
COUNTIFS(#REF!,"&lt;&gt;I don't know / Prefer not to say",#REF!,
"&lt;&gt;-",#REF!,
"Yes",#REF!,
P$1)</f>
        <v>#REF!</v>
      </c>
      <c r="Q17" s="61" t="e">
        <f>COUNTIFS(#REF!,"No",#REF!,
"Yes",#REF!,
"&lt;&gt;Complaint was fully investigated and the complaint was fully or partially upheld",#REF!,
"&lt;&gt;Complaint was fully investigated and the complaint was not upheld")
/
COUNTIFS(#REF!,"&lt;&gt;I don't know / Prefer not to say",#REF!,
"&lt;&gt;-",#REF!,
"Yes",#REF!,
"&lt;&gt;Complaint was fully investigated and the complaint was fully or partially upheld",#REF!,
"&lt;&gt;Complaint was fully investigated and the complaint was not upheld")</f>
        <v>#REF!</v>
      </c>
      <c r="R17" s="89"/>
    </row>
    <row r="18" spans="1:18">
      <c r="A18" s="71" t="s">
        <v>171</v>
      </c>
      <c r="B18" s="80" t="s">
        <v>19</v>
      </c>
      <c r="C18" s="77" t="e">
        <f t="shared" si="1"/>
        <v>#REF!</v>
      </c>
      <c r="D18" s="77" t="e">
        <f>COUNTIFS(#REF!,"Yes",#REF!,
"Complainant (i.e. you made a Service Complaint in writing)",#REF!,
"Yes")
/
COUNTIFS(#REF!,"&lt;&gt;I don't know / Prefer not to say",#REF!,
"&lt;&gt;-",#REF!,
"Complainant (i.e. you made a Service Complaint in writing)",#REF!,
"Yes")</f>
        <v>#REF!</v>
      </c>
      <c r="E18" s="78" t="e">
        <f>COUNTIFS(#REF!,"Neutral",#REF!,
"Complainant (i.e. you made a Service Complaint in writing)",#REF!,
"Yes")
/
COUNTIFS(#REF!,"&lt;&gt;I don't know / Prefer not to say",#REF!,
"&lt;&gt;-",#REF!,
"Complainant (i.e. you made a Service Complaint in writing)",#REF!,
"Yes")</f>
        <v>#REF!</v>
      </c>
      <c r="F18" s="79" t="e">
        <f>COUNTIFS(#REF!,"No",#REF!,
"Complainant (i.e. you made a Service Complaint in writing)",#REF!,
"Yes")
/
COUNTIFS(#REF!,"&lt;&gt;I don't know / Prefer not to say",#REF!,
"&lt;&gt;-",#REF!,
"Complainant (i.e. you made a Service Complaint in writing)",#REF!,
"Yes")</f>
        <v>#REF!</v>
      </c>
      <c r="G18" s="77" t="e">
        <f>COUNTIFS(#REF!,"No",#REF!,
"Complainant (i.e. you made a Service Complaint in writing)",#REF!,
"Yes",#REF!,
G$1)
/
COUNTIFS(#REF!,"&lt;&gt;I don't know / Prefer not to say",#REF!,
"&lt;&gt;-",#REF!,
"Complainant (i.e. you made a Service Complaint in writing)",#REF!,
"Yes",#REF!,
G$1)</f>
        <v>#REF!</v>
      </c>
      <c r="H18" s="78" t="e">
        <f>COUNTIFS(#REF!,"No",#REF!,
"Complainant (i.e. you made a Service Complaint in writing)",#REF!,
"Yes",#REF!,
H$1)
/
COUNTIFS(#REF!,"&lt;&gt;I don't know / Prefer not to say",#REF!,
"&lt;&gt;-",#REF!,
"Complainant (i.e. you made a Service Complaint in writing)",#REF!,
"Yes",#REF!,
H$1)</f>
        <v>#REF!</v>
      </c>
      <c r="I18" s="78" t="e">
        <f>COUNTIFS(#REF!,"No",#REF!,
"Complainant (i.e. you made a Service Complaint in writing)",#REF!,
"Yes",#REF!,
I$1)
/
COUNTIFS(#REF!,"&lt;&gt;I don't know / Prefer not to say",#REF!,
"&lt;&gt;-",#REF!,
"Complainant (i.e. you made a Service Complaint in writing)",#REF!,
"Yes",#REF!,
I$1)</f>
        <v>#REF!</v>
      </c>
      <c r="J18" s="79" t="e">
        <f>COUNTIFS(#REF!,"No",#REF!,
"Complainant (i.e. you made a Service Complaint in writing)",#REF!,
"Yes",#REF!,
J$1)
/
COUNTIFS(#REF!,"&lt;&gt;I don't know / Prefer not to say",#REF!,
"&lt;&gt;-",#REF!,
"Complainant (i.e. you made a Service Complaint in writing)",#REF!,
"Yes",#REF!,
J$1)</f>
        <v>#REF!</v>
      </c>
      <c r="K18" s="77" t="e">
        <f>COUNTIFS(#REF!,"No",#REF!,
"Complainant (i.e. you made a Service Complaint in writing)",#REF!,
"Yes",#REF!,
K$1)
/
COUNTIFS(#REF!,"&lt;&gt;I don't know / Prefer not to say",#REF!,
"&lt;&gt;-",#REF!,
"Complainant (i.e. you made a Service Complaint in writing)",#REF!,
"Yes",#REF!,
K$1)</f>
        <v>#REF!</v>
      </c>
      <c r="L18" s="78" t="s">
        <v>139</v>
      </c>
      <c r="M18" s="78" t="s">
        <v>139</v>
      </c>
      <c r="N18" s="79" t="s">
        <v>139</v>
      </c>
      <c r="O18" s="77" t="e">
        <f>COUNTIFS(#REF!,"No",#REF!,
"Complainant (i.e. you made a Service Complaint in writing)",#REF!,
"Yes",#REF!,
O$1)
/
COUNTIFS(#REF!,"&lt;&gt;I don't know / Prefer not to say",#REF!,
"&lt;&gt;-",#REF!,
"Complainant (i.e. you made a Service Complaint in writing)",#REF!,
"Yes",#REF!,
O$1)</f>
        <v>#REF!</v>
      </c>
      <c r="P18" s="78" t="e">
        <f>COUNTIFS(#REF!,"No",#REF!,
"Complainant (i.e. you made a Service Complaint in writing)",#REF!,
"Yes",#REF!,
P$1)
/
COUNTIFS(#REF!,"&lt;&gt;I don't know / Prefer not to say",#REF!,
"&lt;&gt;-",#REF!,
"Complainant (i.e. you made a Service Complaint in writing)",#REF!,
"Yes",#REF!,
P$1)</f>
        <v>#REF!</v>
      </c>
      <c r="Q18" s="79" t="e">
        <f>COUNTIFS(#REF!,"No",#REF!,
"Complainant (i.e. you made a Service Complaint in writing)",#REF!,
"Yes",#REF!,
"&lt;&gt;Complaint was fully investigated and the complaint was fully or partially upheld",#REF!,
"&lt;&gt;Complaint was fully investigated and the complaint was not upheld")
/
COUNTIFS(#REF!,"&lt;&gt;I don't know / Prefer not to say",#REF!,
"&lt;&gt;-",#REF!,
"Complainant (i.e. you made a Service Complaint in writing)",#REF!,
"Yes",#REF!,
"&lt;&gt;Complaint was fully investigated and the complaint was fully or partially upheld",#REF!,
"&lt;&gt;Complaint was fully investigated and the complaint was not upheld")</f>
        <v>#REF!</v>
      </c>
    </row>
    <row r="19" spans="1:18">
      <c r="B19" s="8"/>
      <c r="C19" s="35"/>
      <c r="D19" s="35"/>
      <c r="E19" s="34"/>
      <c r="F19" s="33"/>
      <c r="G19" s="35"/>
      <c r="H19" s="34"/>
      <c r="I19" s="34"/>
      <c r="J19" s="33"/>
      <c r="K19" s="35"/>
      <c r="L19" s="34"/>
      <c r="M19" s="34"/>
      <c r="N19" s="33"/>
      <c r="O19" s="35"/>
      <c r="P19" s="34"/>
      <c r="Q19" s="33"/>
    </row>
    <row r="20" spans="1:18">
      <c r="B20" s="55"/>
      <c r="C20" s="56"/>
      <c r="D20" s="56"/>
      <c r="E20" s="6"/>
      <c r="F20" s="57"/>
      <c r="G20" s="56"/>
      <c r="H20" s="6"/>
      <c r="I20" s="6"/>
      <c r="J20" s="57"/>
      <c r="K20" s="56"/>
      <c r="L20" s="6"/>
      <c r="M20" s="6"/>
      <c r="N20" s="57"/>
      <c r="O20" s="56"/>
      <c r="P20" s="6"/>
      <c r="Q20" s="57"/>
    </row>
    <row r="21" spans="1:18" s="1" customFormat="1">
      <c r="A21" t="s">
        <v>172</v>
      </c>
      <c r="B21" s="31" t="s">
        <v>15</v>
      </c>
      <c r="C21" s="62" t="e">
        <f>SUM(D21:F21)</f>
        <v>#REF!</v>
      </c>
      <c r="D21" s="62" t="e">
        <f>COUNTIFS(#REF!,"Yes",#REF!,
"Yes")
/
COUNTIFS(#REF!,"&lt;&gt;I don't think this applies to me/ I prefer not to say",#REF!,
"&lt;&gt;-",#REF!,
"Yes")</f>
        <v>#REF!</v>
      </c>
      <c r="E21" s="63" t="e">
        <f>COUNTIFS(#REF!,"Neutral",#REF!,
"Yes")
/
COUNTIFS(#REF!,"&lt;&gt;I don't think this applies to me/ I prefer not to say",#REF!,
"&lt;&gt;-",#REF!,
"Yes")</f>
        <v>#REF!</v>
      </c>
      <c r="F21" s="32" t="e">
        <f>COUNTIFS(#REF!,"No",#REF!,
"Yes")
/
COUNTIFS(#REF!,"&lt;&gt;I don't think this applies to me/ I prefer not to say",#REF!,
"&lt;&gt;-",#REF!,
"Yes")</f>
        <v>#REF!</v>
      </c>
      <c r="G21" s="62" t="e">
        <f>COUNTIFS(#REF!,"No",#REF!,
"Yes",#REF!,
G$1)
/
COUNTIFS(#REF!,"&lt;&gt;I don't think this applies to me/ I prefer not to say",#REF!,
"&lt;&gt;-",#REF!,
"Yes",#REF!,
G$1)</f>
        <v>#REF!</v>
      </c>
      <c r="H21" s="63" t="e">
        <f>COUNTIFS(#REF!,"No",#REF!,
"Yes",#REF!,
H$1)
/
COUNTIFS(#REF!,"&lt;&gt;I don't think this applies to me/ I prefer not to say",#REF!,
"&lt;&gt;-",#REF!,
"Yes",#REF!,
H$1)</f>
        <v>#REF!</v>
      </c>
      <c r="I21" s="63" t="e">
        <f>COUNTIFS(#REF!,"No",#REF!,
"Yes",#REF!,
I$1)
/
COUNTIFS(#REF!,"&lt;&gt;I don't think this applies to me/ I prefer not to say",#REF!,
"&lt;&gt;-",#REF!,
"Yes",#REF!,
I$1)</f>
        <v>#REF!</v>
      </c>
      <c r="J21" s="32" t="e">
        <f>COUNTIFS(#REF!,"No",#REF!,
"Yes",#REF!,
J$1)
/
COUNTIFS(#REF!,"&lt;&gt;I don't think this applies to me/ I prefer not to say",#REF!,
"&lt;&gt;-",#REF!,
"Yes",#REF!,
J$1)</f>
        <v>#REF!</v>
      </c>
      <c r="K21" s="62" t="e">
        <f>COUNTIFS(#REF!,"No",#REF!,
"Yes",#REF!,
K$1)
/
COUNTIFS(#REF!,"&lt;&gt;I don't think this applies to me/ I prefer not to say",#REF!,
"&lt;&gt;-",#REF!,
"Yes",#REF!,
K$1)</f>
        <v>#REF!</v>
      </c>
      <c r="L21" s="63" t="e">
        <f>COUNTIFS(#REF!,"No",#REF!,
"Yes",#REF!,
L$1)
/
COUNTIFS(#REF!,"&lt;&gt;I don't think this applies to me/ I prefer not to say",#REF!,
"&lt;&gt;-",#REF!,
"Yes",#REF!,
L$1)</f>
        <v>#REF!</v>
      </c>
      <c r="M21" s="63" t="e">
        <f>COUNTIFS(#REF!,"No",#REF!,
"Yes",#REF!,
M$1)
/
COUNTIFS(#REF!,"&lt;&gt;I don't think this applies to me/ I prefer not to say",#REF!,
"&lt;&gt;-",#REF!,
"Yes",#REF!,
M$1)</f>
        <v>#REF!</v>
      </c>
      <c r="N21" s="32" t="e">
        <f>COUNTIFS(#REF!,"No",#REF!,
"Yes",#REF!,
N$1)
/
COUNTIFS(#REF!,"&lt;&gt;I don't think this applies to me/ I prefer not to say",#REF!,
"&lt;&gt;-",#REF!,
"Yes",#REF!,
N$1)</f>
        <v>#REF!</v>
      </c>
      <c r="O21" s="62" t="e">
        <f>COUNTIFS(#REF!,"No",#REF!,
"Yes",#REF!,
O$1)
/
COUNTIFS(#REF!,"&lt;&gt;I don't think this applies to me/ I prefer not to say",#REF!,
"&lt;&gt;-",#REF!,
"Yes",#REF!,
O$1)</f>
        <v>#REF!</v>
      </c>
      <c r="P21" s="63" t="e">
        <f>COUNTIFS(#REF!,"No",#REF!,
"Yes",#REF!,
P$1)
/
COUNTIFS(#REF!,"&lt;&gt;I don't think this applies to me/ I prefer not to say",#REF!,
"&lt;&gt;-",#REF!,
"Yes",#REF!,
P$1)</f>
        <v>#REF!</v>
      </c>
      <c r="Q21" s="32" t="e">
        <f>COUNTIFS(#REF!,"No",#REF!,
"Yes",#REF!,
"&lt;&gt;Complaint was fully investigated and the complaint was fully or partially upheld",#REF!,
"&lt;&gt;Complaint was fully investigated and the complaint was not upheld")
/
COUNTIFS(#REF!,"&lt;&gt;I don't think this applies to me/ I prefer not to say",#REF!,
"&lt;&gt;-",#REF!,
"Yes",#REF!,
"&lt;&gt;Complaint was fully investigated and the complaint was fully or partially upheld",#REF!,
"&lt;&gt;Complaint was fully investigated and the complaint was not upheld")</f>
        <v>#REF!</v>
      </c>
    </row>
    <row r="22" spans="1:18">
      <c r="A22" t="s">
        <v>173</v>
      </c>
      <c r="B22" s="31" t="s">
        <v>14</v>
      </c>
      <c r="C22" s="62" t="e">
        <f>SUM(D22:F22)</f>
        <v>#REF!</v>
      </c>
      <c r="D22" s="62" t="e">
        <f>COUNTIFS(#REF!,"Yes",#REF!,
"Yes")
/
COUNTIFS(#REF!,"&lt;&gt;I don't know/ I prefer not to say",#REF!,
"&lt;&gt;-",#REF!,
"Yes")</f>
        <v>#REF!</v>
      </c>
      <c r="E22" s="63" t="e">
        <f>COUNTIFS(#REF!,"Neutral",#REF!,
"Yes")
/
COUNTIFS(#REF!,"&lt;&gt;I don't know/ I prefer not to say",#REF!,
"&lt;&gt;-",#REF!,
"Yes")</f>
        <v>#REF!</v>
      </c>
      <c r="F22" s="32" t="e">
        <f>COUNTIFS(#REF!,"No",#REF!,
"Yes")
/
COUNTIFS(#REF!,"&lt;&gt;I don't know/ I prefer not to say",#REF!,
"&lt;&gt;-",#REF!,
"Yes")</f>
        <v>#REF!</v>
      </c>
      <c r="G22" s="62" t="e">
        <f>COUNTIFS(#REF!,"No",#REF!,
"Yes",#REF!,
G$1)
/
COUNTIFS(#REF!,"&lt;&gt;I don't know/ I prefer not to say",#REF!,
"&lt;&gt;-",#REF!,
"Yes",#REF!,
G$1)</f>
        <v>#REF!</v>
      </c>
      <c r="H22" s="63" t="e">
        <f>COUNTIFS(#REF!,"No",#REF!,
"Yes",#REF!,
H$1)
/
COUNTIFS(#REF!,"&lt;&gt;I don't know/ I prefer not to say",#REF!,
"&lt;&gt;-",#REF!,
"Yes",#REF!,
H$1)</f>
        <v>#REF!</v>
      </c>
      <c r="I22" s="63" t="e">
        <f>COUNTIFS(#REF!,"No",#REF!,
"Yes",#REF!,
I$1)
/
COUNTIFS(#REF!,"&lt;&gt;I don't know/ I prefer not to say",#REF!,
"&lt;&gt;-",#REF!,
"Yes",#REF!,
I$1)</f>
        <v>#REF!</v>
      </c>
      <c r="J22" s="32" t="e">
        <f>COUNTIFS(#REF!,"No",#REF!,
"Yes",#REF!,
J$1)
/
COUNTIFS(#REF!,"&lt;&gt;I don't know/ I prefer not to say",#REF!,
"&lt;&gt;-",#REF!,
"Yes",#REF!,
J$1)</f>
        <v>#REF!</v>
      </c>
      <c r="K22" s="62" t="e">
        <f>COUNTIFS(#REF!,"No",#REF!,
"Yes",#REF!,
K$1)
/
COUNTIFS(#REF!,"&lt;&gt;I don't know/ I prefer not to say",#REF!,
"&lt;&gt;-",#REF!,
"Yes",#REF!,
K$1)</f>
        <v>#REF!</v>
      </c>
      <c r="L22" s="63" t="e">
        <f>COUNTIFS(#REF!,"No",#REF!,
"Yes",#REF!,
L$1)
/
COUNTIFS(#REF!,"&lt;&gt;I don't know/ I prefer not to say",#REF!,
"&lt;&gt;-",#REF!,
"Yes",#REF!,
L$1)</f>
        <v>#REF!</v>
      </c>
      <c r="M22" s="63" t="e">
        <f>COUNTIFS(#REF!,"No",#REF!,
"Yes",#REF!,
M$1)
/
COUNTIFS(#REF!,"&lt;&gt;I don't know/ I prefer not to say",#REF!,
"&lt;&gt;-",#REF!,
"Yes",#REF!,
M$1)</f>
        <v>#REF!</v>
      </c>
      <c r="N22" s="32" t="e">
        <f>COUNTIFS(#REF!,"No",#REF!,
"Yes",#REF!,
N$1)
/
COUNTIFS(#REF!,"&lt;&gt;I don't know/ I prefer not to say",#REF!,
"&lt;&gt;-",#REF!,
"Yes",#REF!,
N$1)</f>
        <v>#REF!</v>
      </c>
      <c r="O22" s="62" t="e">
        <f>COUNTIFS(#REF!,"No",#REF!,
"Yes",#REF!,
O$1)
/
COUNTIFS(#REF!,"&lt;&gt;I don't know/ I prefer not to say",#REF!,
"&lt;&gt;-",#REF!,
"Yes",#REF!,
O$1)</f>
        <v>#REF!</v>
      </c>
      <c r="P22" s="63" t="e">
        <f>COUNTIFS(#REF!,"No",#REF!,
"Yes",#REF!,
P$1)
/
COUNTIFS(#REF!,"&lt;&gt;I don't know/ I prefer not to say",#REF!,
"&lt;&gt;-",#REF!,
"Yes",#REF!,
P$1)</f>
        <v>#REF!</v>
      </c>
      <c r="Q22" s="32" t="e">
        <f>COUNTIFS(#REF!,"No",#REF!,
"Yes",#REF!,
"&lt;&gt;Complaint was fully investigated and the complaint was fully or partially upheld",#REF!,
"&lt;&gt;Complaint was fully investigated and the complaint was not upheld")
/
COUNTIFS(#REF!,"&lt;&gt;I don't know/ I prefer not to say",#REF!,
"&lt;&gt;-",#REF!,
"Yes",#REF!,
"&lt;&gt;Complaint was fully investigated and the complaint was fully or partially upheld",#REF!,
"&lt;&gt;Complaint was fully investigated and the complaint was not upheld")</f>
        <v>#REF!</v>
      </c>
    </row>
    <row r="23" spans="1:18">
      <c r="A23" t="s">
        <v>174</v>
      </c>
      <c r="B23" s="31" t="s">
        <v>13</v>
      </c>
      <c r="C23" s="62" t="e">
        <f>SUM(D23:F23)</f>
        <v>#REF!</v>
      </c>
      <c r="D23" s="62" t="e">
        <f>COUNTIFS(#REF!,"Yes",#REF!,
"Yes")
/
COUNTIFS(#REF!,"&lt;&gt;I prefer not to say",#REF!,
"&lt;&gt;-",#REF!,
"Yes")</f>
        <v>#REF!</v>
      </c>
      <c r="E23" s="63" t="e">
        <f>COUNTIFS(#REF!,"Neutral",#REF!,
"Yes")
/
COUNTIFS(#REF!,"&lt;&gt;I prefer not to say",#REF!,
"&lt;&gt;-",#REF!,
"Yes")</f>
        <v>#REF!</v>
      </c>
      <c r="F23" s="32" t="e">
        <f>COUNTIFS(#REF!,"No",#REF!,
"Yes")
/
COUNTIFS(#REF!,"&lt;&gt;I prefer not to say",#REF!,
"&lt;&gt;-",#REF!,
"Yes")</f>
        <v>#REF!</v>
      </c>
      <c r="G23" s="62" t="e">
        <f>COUNTIFS(#REF!,"No",#REF!,
"Yes",#REF!,
G$1)
/
COUNTIFS(#REF!,"&lt;&gt;I prefer not to say",#REF!,
"&lt;&gt;-",#REF!,
"Yes",#REF!,
G$1)</f>
        <v>#REF!</v>
      </c>
      <c r="H23" s="63" t="e">
        <f>COUNTIFS(#REF!,"No",#REF!,
"Yes",#REF!,
H$1)
/
COUNTIFS(#REF!,"&lt;&gt;I prefer not to say",#REF!,
"&lt;&gt;-",#REF!,
"Yes",#REF!,
H$1)</f>
        <v>#REF!</v>
      </c>
      <c r="I23" s="63" t="e">
        <f>COUNTIFS(#REF!,"No",#REF!,
"Yes",#REF!,
I$1)
/
COUNTIFS(#REF!,"&lt;&gt;I prefer not to say",#REF!,
"&lt;&gt;-",#REF!,
"Yes",#REF!,
I$1)</f>
        <v>#REF!</v>
      </c>
      <c r="J23" s="32" t="e">
        <f>COUNTIFS(#REF!,"No",#REF!,
"Yes",#REF!,
J$1)
/
COUNTIFS(#REF!,"&lt;&gt;I prefer not to say",#REF!,
"&lt;&gt;-",#REF!,
"Yes",#REF!,
J$1)</f>
        <v>#REF!</v>
      </c>
      <c r="K23" s="62" t="e">
        <f>COUNTIFS(#REF!,"No",#REF!,
"Yes",#REF!,
K$1)
/
COUNTIFS(#REF!,"&lt;&gt;I prefer not to say",#REF!,
"&lt;&gt;-",#REF!,
"Yes",#REF!,
K$1)</f>
        <v>#REF!</v>
      </c>
      <c r="L23" s="63" t="e">
        <f>COUNTIFS(#REF!,"No",#REF!,
"Yes",#REF!,
L$1)
/
COUNTIFS(#REF!,"&lt;&gt;I prefer not to say",#REF!,
"&lt;&gt;-",#REF!,
"Yes",#REF!,
L$1)</f>
        <v>#REF!</v>
      </c>
      <c r="M23" s="63" t="e">
        <f>COUNTIFS(#REF!,"No",#REF!,
"Yes",#REF!,
M$1)
/
COUNTIFS(#REF!,"&lt;&gt;I prefer not to say",#REF!,
"&lt;&gt;-",#REF!,
"Yes",#REF!,
M$1)</f>
        <v>#REF!</v>
      </c>
      <c r="N23" s="32" t="e">
        <f>COUNTIFS(#REF!,"No",#REF!,
"Yes",#REF!,
N$1)
/
COUNTIFS(#REF!,"&lt;&gt;I prefer not to say",#REF!,
"&lt;&gt;-",#REF!,
"Yes",#REF!,
N$1)</f>
        <v>#REF!</v>
      </c>
      <c r="O23" s="62" t="e">
        <f>COUNTIFS(#REF!,"No",#REF!,
"Yes",#REF!,
O$1)
/
COUNTIFS(#REF!,"&lt;&gt;I prefer not to say",#REF!,
"&lt;&gt;-",#REF!,
"Yes",#REF!,
O$1)</f>
        <v>#REF!</v>
      </c>
      <c r="P23" s="63" t="e">
        <f>COUNTIFS(#REF!,"No",#REF!,
"Yes",#REF!,
P$1)
/
COUNTIFS(#REF!,"&lt;&gt;I prefer not to say",#REF!,
"&lt;&gt;-",#REF!,
"Yes",#REF!,
P$1)</f>
        <v>#REF!</v>
      </c>
      <c r="Q23" s="32" t="e">
        <f>COUNTIFS(#REF!,"No",#REF!,
"Yes",#REF!,
"&lt;&gt;Complaint was fully investigated and the complaint was fully or partially upheld",#REF!,
"&lt;&gt;Complaint was fully investigated and the complaint was not upheld")
/
COUNTIFS(#REF!,"&lt;&gt;I prefer not to say",#REF!,
"&lt;&gt;-",#REF!,
"Yes",#REF!,
"&lt;&gt;Complaint was fully investigated and the complaint was fully or partially upheld",#REF!,
"&lt;&gt;Complaint was fully investigated and the complaint was not upheld")</f>
        <v>#REF!</v>
      </c>
    </row>
    <row r="24" spans="1:18">
      <c r="B24" s="8"/>
      <c r="C24" s="35"/>
      <c r="D24" s="35"/>
      <c r="E24" s="34"/>
      <c r="F24" s="33"/>
      <c r="G24" s="35"/>
      <c r="H24" s="34"/>
      <c r="I24" s="34"/>
      <c r="J24" s="33"/>
      <c r="K24" s="35"/>
      <c r="L24" s="34"/>
      <c r="M24" s="34"/>
      <c r="N24" s="33"/>
      <c r="O24" s="35"/>
      <c r="P24" s="34"/>
      <c r="Q24" s="33"/>
    </row>
    <row r="25" spans="1:18">
      <c r="B25" s="55"/>
      <c r="C25" s="56"/>
      <c r="D25" s="56"/>
      <c r="E25" s="6"/>
      <c r="F25" s="57"/>
      <c r="G25" s="56"/>
      <c r="H25" s="6"/>
      <c r="I25" s="6"/>
      <c r="J25" s="57"/>
      <c r="K25" s="56"/>
      <c r="L25" s="6"/>
      <c r="M25" s="6"/>
      <c r="N25" s="57"/>
      <c r="O25" s="56"/>
      <c r="P25" s="6"/>
      <c r="Q25" s="57"/>
    </row>
    <row r="26" spans="1:18">
      <c r="A26" t="s">
        <v>175</v>
      </c>
      <c r="B26" s="67" t="s">
        <v>32</v>
      </c>
      <c r="C26" s="64" t="e">
        <f>SUM(D26:F26)</f>
        <v>#REF!</v>
      </c>
      <c r="D26" s="64" t="e">
        <f>COUNTIFS(#REF!,"Yes",#REF!,
"Yes")
/
COUNTIFS(#REF!,"&lt;&gt;I don't know / Prefer not to say",#REF!,
"&lt;&gt;-",#REF!,
"Yes")</f>
        <v>#REF!</v>
      </c>
      <c r="E26" s="65" t="e">
        <f>COUNTIFS(#REF!,"Neutral",#REF!,
"Yes")
/
COUNTIFS(#REF!,"&lt;&gt;I don't know / Prefer not to say",#REF!,
"&lt;&gt;-",#REF!,
"Yes")</f>
        <v>#REF!</v>
      </c>
      <c r="F26" s="66" t="e">
        <f>COUNTIFS(#REF!,"No",#REF!,
"Yes")
/
COUNTIFS(#REF!,"&lt;&gt;I don't know / Prefer not to say",#REF!,
"&lt;&gt;-",#REF!,
"Yes")</f>
        <v>#REF!</v>
      </c>
      <c r="G26" s="64" t="e">
        <f>COUNTIFS(#REF!,"No",#REF!,
"Yes",#REF!,
G$1)
/
COUNTIFS(#REF!,"&lt;&gt;I don't know / Prefer not to say",#REF!,
"&lt;&gt;-",#REF!,
"Yes",#REF!,
G$1)</f>
        <v>#REF!</v>
      </c>
      <c r="H26" s="65" t="e">
        <f>COUNTIFS(#REF!,"No",#REF!,
"Yes",#REF!,
H$1)
/
COUNTIFS(#REF!,"&lt;&gt;I don't know / Prefer not to say",#REF!,
"&lt;&gt;-",#REF!,
"Yes",#REF!,
H$1)</f>
        <v>#REF!</v>
      </c>
      <c r="I26" s="65" t="e">
        <f>COUNTIFS(#REF!,"No",#REF!,
"Yes",#REF!,
I$1)
/
COUNTIFS(#REF!,"&lt;&gt;I don't know / Prefer not to say",#REF!,
"&lt;&gt;-",#REF!,
"Yes",#REF!,
I$1)</f>
        <v>#REF!</v>
      </c>
      <c r="J26" s="66" t="e">
        <f>COUNTIFS(#REF!,"No",#REF!,
"Yes",#REF!,
J$1)
/
COUNTIFS(#REF!,"&lt;&gt;I don't know / Prefer not to say",#REF!,
"&lt;&gt;-",#REF!,
"Yes",#REF!,
J$1)</f>
        <v>#REF!</v>
      </c>
      <c r="K26" s="64" t="e">
        <f>COUNTIFS(#REF!,"No",#REF!,
"Yes",#REF!,
K$1)
/
COUNTIFS(#REF!,"&lt;&gt;I don't know / Prefer not to say",#REF!,
"&lt;&gt;-",#REF!,
"Yes",#REF!,
K$1)</f>
        <v>#REF!</v>
      </c>
      <c r="L26" s="65" t="e">
        <f>COUNTIFS(#REF!,"No",#REF!,
"Yes",#REF!,
L$1)
/
COUNTIFS(#REF!,"&lt;&gt;I don't know / Prefer not to say",#REF!,
"&lt;&gt;-",#REF!,
"Yes",#REF!,
L$1)</f>
        <v>#REF!</v>
      </c>
      <c r="M26" s="65" t="s">
        <v>139</v>
      </c>
      <c r="N26" s="66" t="s">
        <v>139</v>
      </c>
      <c r="O26" s="64" t="e">
        <f>COUNTIFS(#REF!,"No",#REF!,
"Yes",#REF!,
O$1)
/
COUNTIFS(#REF!,"&lt;&gt;I don't know / Prefer not to say",#REF!,
"&lt;&gt;-",#REF!,
"Yes",#REF!,
O$1)</f>
        <v>#REF!</v>
      </c>
      <c r="P26" s="65" t="e">
        <f>COUNTIFS(#REF!,"No",#REF!,
"Yes",#REF!,
P$1)
/
COUNTIFS(#REF!,"&lt;&gt;I don't know / Prefer not to say",#REF!,
"&lt;&gt;-",#REF!,
"Yes",#REF!,
P$1)</f>
        <v>#REF!</v>
      </c>
      <c r="Q26" s="66" t="e">
        <f>COUNTIFS(#REF!,"No",#REF!,
"Yes",#REF!,
"&lt;&gt;Complaint was fully investigated and the complaint was fully or partially upheld",#REF!,
"&lt;&gt;Complaint was fully investigated and the complaint was not upheld")
/
COUNTIFS(#REF!,"&lt;&gt;I don't know / Prefer not to say",#REF!,
"&lt;&gt;-",#REF!,
"Yes",#REF!,
"&lt;&gt;Complaint was fully investigated and the complaint was fully or partially upheld",#REF!,
"&lt;&gt;Complaint was fully investigated and the complaint was not upheld")</f>
        <v>#REF!</v>
      </c>
    </row>
    <row r="27" spans="1:18" s="1" customFormat="1">
      <c r="A27" t="s">
        <v>176</v>
      </c>
      <c r="B27" s="67" t="s">
        <v>33</v>
      </c>
      <c r="C27" s="64" t="e">
        <f>SUM(D27:F27)</f>
        <v>#REF!</v>
      </c>
      <c r="D27" s="64" t="e">
        <f>COUNTIFS(#REF!,"Satisfied",#REF!,
"Yes")
/
COUNTIFS(#REF!,"&lt;&gt;Prefer not to say",#REF!,
"&lt;&gt;-",#REF!,
"Yes")</f>
        <v>#REF!</v>
      </c>
      <c r="E27" s="65" t="e">
        <f>COUNTIFS(#REF!,"Neutral",#REF!,
"Yes")
/
COUNTIFS(#REF!,"&lt;&gt;Prefer not to say",#REF!,
"&lt;&gt;-",#REF!,
"Yes")</f>
        <v>#REF!</v>
      </c>
      <c r="F27" s="66" t="e">
        <f>COUNTIFS(#REF!,"Dissatisfied",#REF!,
"Yes")
/
COUNTIFS(#REF!,"&lt;&gt;Prefer not to say",#REF!,
"&lt;&gt;-",#REF!,
"Yes")</f>
        <v>#REF!</v>
      </c>
      <c r="G27" s="64" t="e">
        <f>COUNTIFS(#REF!,"Dissatisfied",#REF!,
"Yes",#REF!,
G$1)
/
COUNTIFS(#REF!,"&lt;&gt;Prefer not to say",#REF!,
"&lt;&gt;-",#REF!,
"Yes",#REF!,
G$1)</f>
        <v>#REF!</v>
      </c>
      <c r="H27" s="65" t="e">
        <f>COUNTIFS(#REF!,"Dissatisfied",#REF!,
"Yes",#REF!,
H$1)
/
COUNTIFS(#REF!,"&lt;&gt;Prefer not to say",#REF!,
"&lt;&gt;-",#REF!,
"Yes",#REF!,
H$1)</f>
        <v>#REF!</v>
      </c>
      <c r="I27" s="65" t="e">
        <f>COUNTIFS(#REF!,"Dissatisfied",#REF!,
"Yes",#REF!,
I$1)
/
COUNTIFS(#REF!,"&lt;&gt;Prefer not to say",#REF!,
"&lt;&gt;-",#REF!,
"Yes",#REF!,
I$1)</f>
        <v>#REF!</v>
      </c>
      <c r="J27" s="66" t="e">
        <f>COUNTIFS(#REF!,"Dissatisfied",#REF!,
"Yes",#REF!,
J$1)
/
COUNTIFS(#REF!,"&lt;&gt;Prefer not to say",#REF!,
"&lt;&gt;-",#REF!,
"Yes",#REF!,
J$1)</f>
        <v>#REF!</v>
      </c>
      <c r="K27" s="64" t="e">
        <f>COUNTIFS(#REF!,"Dissatisfied",#REF!,
"Yes",#REF!,
K$1)
/
COUNTIFS(#REF!,"&lt;&gt;Prefer not to say",#REF!,
"&lt;&gt;-",#REF!,
"Yes",#REF!,
K$1)</f>
        <v>#REF!</v>
      </c>
      <c r="L27" s="65" t="e">
        <f>COUNTIFS(#REF!,"Dissatisfied",#REF!,
"Yes",#REF!,
L$1)
/
COUNTIFS(#REF!,"&lt;&gt;Prefer not to say",#REF!,
"&lt;&gt;-",#REF!,
"Yes",#REF!,
L$1)</f>
        <v>#REF!</v>
      </c>
      <c r="M27" s="65" t="s">
        <v>139</v>
      </c>
      <c r="N27" s="66" t="s">
        <v>139</v>
      </c>
      <c r="O27" s="64" t="e">
        <f>COUNTIFS(#REF!,"Dissatisfied",#REF!,
"Yes",#REF!,
O$1)
/
COUNTIFS(#REF!,"&lt;&gt;Prefer not to say",#REF!,
"&lt;&gt;-",#REF!,
"Yes",#REF!,
O$1)</f>
        <v>#REF!</v>
      </c>
      <c r="P27" s="65" t="e">
        <f>COUNTIFS(#REF!,"Dissatisfied",#REF!,
"Yes",#REF!,
P$1)
/
COUNTIFS(#REF!,"&lt;&gt;Prefer not to say",#REF!,
"&lt;&gt;-",#REF!,
"Yes",#REF!,
P$1)</f>
        <v>#REF!</v>
      </c>
      <c r="Q27" s="66" t="e">
        <f>COUNTIFS(#REF!,"Dissatisfied",#REF!,
"Yes",#REF!,
"&lt;&gt;Complaint was fully investigated and the complaint was fully or partially upheld",#REF!,
"&lt;&gt;Complaint was fully investigated and the complaint was not upheld")
/
COUNTIFS(#REF!,"&lt;&gt;Prefer not to say",#REF!,
"&lt;&gt;-",#REF!,
"Yes",#REF!,
"&lt;&gt;Complaint was fully investigated and the complaint was fully or partially upheld",#REF!,
"&lt;&gt;Complaint was fully investigated and the complaint was not upheld")</f>
        <v>#REF!</v>
      </c>
    </row>
    <row r="28" spans="1:18">
      <c r="A28" t="s">
        <v>177</v>
      </c>
      <c r="B28" s="95" t="s">
        <v>29</v>
      </c>
      <c r="C28" s="64" t="e">
        <f>SUM(D28:F28)</f>
        <v>#REF!</v>
      </c>
      <c r="D28" s="64" t="e">
        <f>COUNTIFS(#REF!,"They supported me",#REF!,
"Yes")
/
COUNTIFS(#REF!,"&lt;&gt;I don't know / Prefer not to say",#REF!,
"&lt;&gt;They didn't know",#REF!,
"&lt;&gt;-",#REF!,
"Yes")</f>
        <v>#REF!</v>
      </c>
      <c r="E28" s="65" t="e">
        <f>COUNTIFS(#REF!,"There was no reaction",#REF!,
"Yes")
/
COUNTIFS(#REF!,"&lt;&gt;I don't know / Prefer not to say",#REF!,
"&lt;&gt;They didn't know",#REF!,
"&lt;&gt;-",#REF!,
"Yes")</f>
        <v>#REF!</v>
      </c>
      <c r="F28" s="66" t="e">
        <f>COUNTIFS(#REF!,"They supported me",#REF!,
"Yes")
/
COUNTIFS(#REF!,"&lt;&gt;I don't know / Prefer not to say",#REF!,
"&lt;&gt;They didn't know",#REF!,
"&lt;&gt;-",#REF!,
"Yes")</f>
        <v>#REF!</v>
      </c>
      <c r="G28" s="96" t="e">
        <f>COUNTIFS(#REF!,"They supported me",#REF!,
"Yes",#REF!,
G$1)
/
COUNTIFS(#REF!,"&lt;&gt;I don't know / Prefer not to say",#REF!,
"&lt;&gt;They didn't know",#REF!,
"&lt;&gt;-",#REF!,
"Yes",#REF!,
G$1)</f>
        <v>#REF!</v>
      </c>
      <c r="H28" s="97" t="e">
        <f>COUNTIFS(#REF!,"They supported me",#REF!,
"Yes",#REF!,
H$1)
/
COUNTIFS(#REF!,"&lt;&gt;I don't know / Prefer not to say",#REF!,
"&lt;&gt;They didn't know",#REF!,
"&lt;&gt;-",#REF!,
"Yes",#REF!,
H$1)</f>
        <v>#REF!</v>
      </c>
      <c r="I28" s="97" t="e">
        <f>COUNTIFS(#REF!,"They supported me",#REF!,
"Yes",#REF!,
I$1)
/
COUNTIFS(#REF!,"&lt;&gt;I don't know / Prefer not to say",#REF!,
"&lt;&gt;They didn't know",#REF!,
"&lt;&gt;-",#REF!,
"Yes",#REF!,
I$1)</f>
        <v>#REF!</v>
      </c>
      <c r="J28" s="98" t="e">
        <f>COUNTIFS(#REF!,"They supported me",#REF!,
"Yes",#REF!,
J$1)
/
COUNTIFS(#REF!,"&lt;&gt;I don't know / Prefer not to say",#REF!,
"&lt;&gt;They didn't know",#REF!,
"&lt;&gt;-",#REF!,
"Yes",#REF!,
J$1)</f>
        <v>#REF!</v>
      </c>
      <c r="K28" s="99" t="e">
        <f>COUNTIFS(#REF!,"They supported me",#REF!,
"Yes",#REF!,
K$1)
/
COUNTIFS(#REF!,"&lt;&gt;I don't know / Prefer not to say",#REF!,
"&lt;&gt;They didn't know",#REF!,
"&lt;&gt;-",#REF!,
"Yes",#REF!,
K$1)</f>
        <v>#REF!</v>
      </c>
      <c r="L28" s="100" t="e">
        <f>COUNTIFS(#REF!,"They supported me",#REF!,
"Yes",#REF!,
L$1)
/
COUNTIFS(#REF!,"&lt;&gt;I don't know / Prefer not to say",#REF!,
"&lt;&gt;They didn't know",#REF!,
"&lt;&gt;-",#REF!,
"Yes",#REF!,
L$1)</f>
        <v>#REF!</v>
      </c>
      <c r="M28" s="97" t="s">
        <v>139</v>
      </c>
      <c r="N28" s="98" t="s">
        <v>139</v>
      </c>
      <c r="O28" s="96" t="e">
        <f>COUNTIFS(#REF!,"They supported me",#REF!,
"Yes",#REF!,
O$1)
/
COUNTIFS(#REF!,"&lt;&gt;I don't know / Prefer not to say",#REF!,
"&lt;&gt;They didn't know",#REF!,
"&lt;&gt;-",#REF!,
"Yes",#REF!,
O$1)</f>
        <v>#REF!</v>
      </c>
      <c r="P28" s="97" t="e">
        <f>COUNTIFS(#REF!,"They supported me",#REF!,
"Yes",#REF!,
P$1)
/
COUNTIFS(#REF!,"&lt;&gt;I don't know / Prefer not to say",#REF!,
"&lt;&gt;They didn't know",#REF!,
"&lt;&gt;-",#REF!,
"Yes",#REF!,
P$1)</f>
        <v>#REF!</v>
      </c>
      <c r="Q28" s="98" t="e">
        <f>COUNTIFS(#REF!,"They supported me",#REF!,
"Yes",#REF!,
"&lt;&gt;Complaint was fully investigated and the complaint was fully or partially upheld",#REF!,
"&lt;&gt;Complaint was fully investigated and the complaint was not upheld")
/
COUNTIFS(#REF!,"&lt;&gt;I don't know / Prefer not to say",#REF!,
"&lt;&gt;They didn't know",#REF!,
"&lt;&gt;-",#REF!,
"Yes",#REF!,
"&lt;&gt;Complaint was fully investigated and the complaint was fully or partially upheld",#REF!,
"&lt;&gt;Complaint was fully investigated and the complaint was not upheld")</f>
        <v>#REF!</v>
      </c>
    </row>
    <row r="29" spans="1:18">
      <c r="A29" t="s">
        <v>178</v>
      </c>
      <c r="B29" s="67" t="s">
        <v>27</v>
      </c>
      <c r="C29" s="64" t="e">
        <f>SUM(D29:F29)</f>
        <v>#REF!</v>
      </c>
      <c r="D29" s="64" t="e">
        <f>COUNTIFS(#REF!,"No",#REF!,
"Yes")
/
COUNTIFS(#REF!,"&lt;&gt;I don't know / Prefer not to say",#REF!,
"&lt;&gt;-",#REF!,
"Yes")</f>
        <v>#REF!</v>
      </c>
      <c r="E29" s="65" t="e">
        <f>COUNTIFS(#REF!,"Neutral",#REF!,
"Yes")
/
COUNTIFS(#REF!,"&lt;&gt;I don't know / Prefer not to say",#REF!,
"&lt;&gt;-",#REF!,
"Yes")</f>
        <v>#REF!</v>
      </c>
      <c r="F29" s="66" t="e">
        <f>COUNTIFS(#REF!,"Yes",#REF!,
"Yes")
/
COUNTIFS(#REF!,"&lt;&gt;I don't know / Prefer not to say",#REF!,
"&lt;&gt;-",#REF!,
"Yes")</f>
        <v>#REF!</v>
      </c>
      <c r="G29" s="64" t="e">
        <f>COUNTIFS(#REF!,"Yes",#REF!,
"Yes",#REF!,
G$1)
/
COUNTIFS(#REF!,"&lt;&gt;I don't know / Prefer not to say",#REF!,
"&lt;&gt;-",#REF!,
"Yes",#REF!,
G$1)</f>
        <v>#REF!</v>
      </c>
      <c r="H29" s="65" t="e">
        <f>COUNTIFS(#REF!,"Yes",#REF!,
"Yes",#REF!,
H$1)
/
COUNTIFS(#REF!,"&lt;&gt;I don't know / Prefer not to say",#REF!,
"&lt;&gt;-",#REF!,
"Yes",#REF!,
H$1)</f>
        <v>#REF!</v>
      </c>
      <c r="I29" s="65" t="e">
        <f>COUNTIFS(#REF!,"Yes",#REF!,
"Yes",#REF!,
I$1)
/
COUNTIFS(#REF!,"&lt;&gt;I don't know / Prefer not to say",#REF!,
"&lt;&gt;-",#REF!,
"Yes",#REF!,
I$1)</f>
        <v>#REF!</v>
      </c>
      <c r="J29" s="66" t="e">
        <f>COUNTIFS(#REF!,"Yes",#REF!,
"Yes",#REF!,
J$1)
/
COUNTIFS(#REF!,"&lt;&gt;I don't know / Prefer not to say",#REF!,
"&lt;&gt;-",#REF!,
"Yes",#REF!,
J$1)</f>
        <v>#REF!</v>
      </c>
      <c r="K29" s="64" t="e">
        <f>COUNTIFS(#REF!,"Yes",#REF!,
"Yes",#REF!,
K$1)
/
COUNTIFS(#REF!,"&lt;&gt;I don't know / Prefer not to say",#REF!,
"&lt;&gt;-",#REF!,
"Yes",#REF!,
K$1)</f>
        <v>#REF!</v>
      </c>
      <c r="L29" s="65" t="e">
        <f>COUNTIFS(#REF!,"Yes",#REF!,
"Yes",#REF!,
L$1)
/
COUNTIFS(#REF!,"&lt;&gt;I don't know / Prefer not to say",#REF!,
"&lt;&gt;-",#REF!,
"Yes",#REF!,
L$1)</f>
        <v>#REF!</v>
      </c>
      <c r="M29" s="65" t="s">
        <v>139</v>
      </c>
      <c r="N29" s="66" t="s">
        <v>139</v>
      </c>
      <c r="O29" s="64" t="e">
        <f>COUNTIFS(#REF!,"Yes",#REF!,
"Yes",#REF!,
O$1)
/
COUNTIFS(#REF!,"&lt;&gt;I don't know / Prefer not to say",#REF!,
"&lt;&gt;-",#REF!,
"Yes",#REF!,
O$1)</f>
        <v>#REF!</v>
      </c>
      <c r="P29" s="65" t="e">
        <f>COUNTIFS(#REF!,"Yes",#REF!,
"Yes",#REF!,
P$1)
/
COUNTIFS(#REF!,"&lt;&gt;I don't know / Prefer not to say",#REF!,
"&lt;&gt;-",#REF!,
"Yes",#REF!,
P$1)</f>
        <v>#REF!</v>
      </c>
      <c r="Q29" s="66" t="e">
        <f>COUNTIFS(#REF!,"Yes",#REF!,
"Yes",#REF!,
"&lt;&gt;Complaint was fully investigated and the complaint was fully or partially upheld",#REF!,
"&lt;&gt;Complaint was fully investigated and the complaint was not upheld")
/
COUNTIFS(#REF!,"&lt;&gt;I don't know / Prefer not to say",#REF!,
"&lt;&gt;-",#REF!,
"Yes",#REF!,
"&lt;&gt;Complaint was fully investigated and the complaint was fully or partially upheld",#REF!,
"&lt;&gt;Complaint was fully investigated and the complaint was not upheld")</f>
        <v>#REF!</v>
      </c>
    </row>
    <row r="30" spans="1:18">
      <c r="B30" s="8"/>
      <c r="C30" s="35"/>
      <c r="D30" s="35"/>
      <c r="E30" s="34"/>
      <c r="F30" s="33"/>
      <c r="G30" s="35"/>
      <c r="H30" s="34"/>
      <c r="I30" s="34"/>
      <c r="J30" s="33"/>
      <c r="K30" s="35"/>
      <c r="L30" s="34"/>
      <c r="M30" s="34"/>
      <c r="N30" s="33"/>
      <c r="O30" s="35"/>
      <c r="P30" s="34"/>
      <c r="Q30" s="33"/>
    </row>
    <row r="31" spans="1:18">
      <c r="B31" s="55"/>
      <c r="C31" s="56"/>
      <c r="D31" s="56"/>
      <c r="E31" s="6"/>
      <c r="F31" s="57"/>
      <c r="G31" s="56"/>
      <c r="H31" s="6"/>
      <c r="I31" s="6"/>
      <c r="J31" s="57"/>
      <c r="K31" s="56"/>
      <c r="L31" s="6"/>
      <c r="M31" s="6"/>
      <c r="N31" s="57"/>
      <c r="O31" s="56"/>
      <c r="P31" s="6"/>
      <c r="Q31" s="57"/>
    </row>
    <row r="32" spans="1:18">
      <c r="A32" t="s">
        <v>179</v>
      </c>
      <c r="B32" s="136" t="s">
        <v>16</v>
      </c>
      <c r="C32" s="85" t="e">
        <f>SUM(D32:F32)</f>
        <v>#REF!</v>
      </c>
      <c r="D32" s="85" t="e">
        <f>COUNTIFS(#REF!,"Yes",#REF!,
"Yes")
/
COUNTIFS(#REF!,"&lt;&gt;Prefer not to say",#REF!,
"&lt;&gt;I don't know",#REF!,
"&lt;&gt;-",#REF!,
"Yes")</f>
        <v>#REF!</v>
      </c>
      <c r="E32" s="86" t="e">
        <f>COUNTIFS(#REF!,"Neutral",#REF!,
"Yes")
/
COUNTIFS(#REF!,"&lt;&gt;Prefer not to say",#REF!,
"&lt;&gt;I don't know",#REF!,
"&lt;&gt;-",#REF!,
"Yes")</f>
        <v>#REF!</v>
      </c>
      <c r="F32" s="87" t="e">
        <f>COUNTIFS(#REF!,"No",#REF!,
"Yes")
/
COUNTIFS(#REF!,"&lt;&gt;Prefer not to say",#REF!,
"&lt;&gt;I don't know",#REF!,
"&lt;&gt;-",#REF!,
"Yes")</f>
        <v>#REF!</v>
      </c>
      <c r="G32" s="85" t="e">
        <f>COUNTIFS(#REF!,"No",#REF!,
"Yes",#REF!,
G$1)
/
COUNTIFS(#REF!,"&lt;&gt;Prefer not to say",#REF!,
"&lt;&gt;I don't know",#REF!,
"&lt;&gt;-",#REF!,
"Yes",#REF!,
G$1)</f>
        <v>#REF!</v>
      </c>
      <c r="H32" s="86" t="e">
        <f>COUNTIFS(#REF!,"No",#REF!,
"Yes",#REF!,
H$1)
/
COUNTIFS(#REF!,"&lt;&gt;Prefer not to say",#REF!,
"&lt;&gt;I don't know",#REF!,
"&lt;&gt;-",#REF!,
"Yes",#REF!,
H$1)</f>
        <v>#REF!</v>
      </c>
      <c r="I32" s="86" t="e">
        <f>COUNTIFS(#REF!,"No",#REF!,
"Yes",#REF!,
I$1)
/
COUNTIFS(#REF!,"&lt;&gt;Prefer not to say",#REF!,
"&lt;&gt;I don't know",#REF!,
"&lt;&gt;-",#REF!,
"Yes",#REF!,
I$1)</f>
        <v>#REF!</v>
      </c>
      <c r="J32" s="87" t="e">
        <f>COUNTIFS(#REF!,"No",#REF!,
"Yes",#REF!,
J$1)
/
COUNTIFS(#REF!,"&lt;&gt;Prefer not to say",#REF!,
"&lt;&gt;I don't know",#REF!,
"&lt;&gt;-",#REF!,
"Yes",#REF!,
J$1)</f>
        <v>#REF!</v>
      </c>
      <c r="K32" s="85" t="e">
        <f>COUNTIFS(#REF!,"No",#REF!,
"Yes",#REF!,
K$1)
/
COUNTIFS(#REF!,"&lt;&gt;Prefer not to say",#REF!,
"&lt;&gt;I don't know",#REF!,
"&lt;&gt;-",#REF!,
"Yes",#REF!,
K$1)</f>
        <v>#REF!</v>
      </c>
      <c r="L32" s="86" t="e">
        <f>COUNTIFS(#REF!,"No",#REF!,
"Yes",#REF!,
L$1)
/
COUNTIFS(#REF!,"&lt;&gt;Prefer not to say",#REF!,
"&lt;&gt;I don't know",#REF!,
"&lt;&gt;-",#REF!,
"Yes",#REF!,
L$1)</f>
        <v>#REF!</v>
      </c>
      <c r="M32" s="86" t="e">
        <f>COUNTIFS(#REF!,"No",#REF!,
"Yes",#REF!,
M$1)
/
COUNTIFS(#REF!,"&lt;&gt;Prefer not to say",#REF!,
"&lt;&gt;I don't know",#REF!,
"&lt;&gt;-",#REF!,
"Yes",#REF!,
M$1)</f>
        <v>#REF!</v>
      </c>
      <c r="N32" s="87" t="e">
        <f>COUNTIFS(#REF!,"No",#REF!,
"Yes",#REF!,
N$1)
/
COUNTIFS(#REF!,"&lt;&gt;Prefer not to say",#REF!,
"&lt;&gt;I don't know",#REF!,
"&lt;&gt;-",#REF!,
"Yes",#REF!,
N$1)</f>
        <v>#REF!</v>
      </c>
      <c r="O32" s="85" t="e">
        <f>COUNTIFS(#REF!,"No",#REF!,
"Yes",#REF!,
O$1)
/
COUNTIFS(#REF!,"&lt;&gt;Prefer not to say",#REF!,
"&lt;&gt;I don't know",#REF!,
"&lt;&gt;-",#REF!,
"Yes",#REF!,
O$1)</f>
        <v>#REF!</v>
      </c>
      <c r="P32" s="86" t="e">
        <f>COUNTIFS(#REF!,"No",#REF!,
"Yes",#REF!,
P$1)
/
COUNTIFS(#REF!,"&lt;&gt;Prefer not to say",#REF!,
"&lt;&gt;I don't know",#REF!,
"&lt;&gt;-",#REF!,
"Yes",#REF!,
P$1)</f>
        <v>#REF!</v>
      </c>
      <c r="Q32" s="87" t="e">
        <f>COUNTIFS(#REF!,"No",#REF!,
"Yes",#REF!,
"&lt;&gt;Complaint was fully investigated and the complaint was fully or partially upheld",#REF!,
"&lt;&gt;Complaint was fully investigated and the complaint was not upheld")
/
COUNTIFS(#REF!,"&lt;&gt;Prefer not to say",#REF!,
"&lt;&gt;I don't know",#REF!,
"&lt;&gt;-",#REF!,
"Yes",#REF!,
"&lt;&gt;Complaint was fully investigated and the complaint was fully or partially upheld",#REF!,
"&lt;&gt;Complaint was fully investigated and the complaint was not upheld")</f>
        <v>#REF!</v>
      </c>
    </row>
    <row r="33" spans="2:17" ht="15.75" thickBot="1">
      <c r="B33" s="185"/>
      <c r="C33" s="90"/>
      <c r="D33" s="52"/>
      <c r="E33" s="52"/>
      <c r="F33" s="53"/>
      <c r="G33" s="54"/>
      <c r="H33" s="52"/>
      <c r="I33" s="52"/>
      <c r="J33" s="53"/>
      <c r="K33" s="54"/>
      <c r="L33" s="52"/>
      <c r="M33" s="52"/>
      <c r="N33" s="53"/>
      <c r="O33" s="54"/>
      <c r="P33" s="52"/>
      <c r="Q33" s="53"/>
    </row>
    <row r="34" spans="2:17" ht="15.75" thickTop="1">
      <c r="B34" s="186" t="s">
        <v>7</v>
      </c>
      <c r="C34" s="187" t="e">
        <f>SUM(D34:F34)</f>
        <v>#REF!</v>
      </c>
      <c r="D34" s="188" t="e">
        <f>COUNTIFS(#REF!,"Yes",#REF!,
"Yes")
/
COUNTIFS(#REF!,"&lt;&gt;Prefer not to say",#REF!,
"&lt;&gt;-",#REF!,
"Yes")</f>
        <v>#REF!</v>
      </c>
      <c r="E34" s="188" t="e">
        <f>COUNTIFS(#REF!,"Neutral",#REF!,
"Yes")
/
COUNTIFS(#REF!,"&lt;&gt;Prefer not to say",#REF!,
"&lt;&gt;-",#REF!,
"Yes")</f>
        <v>#REF!</v>
      </c>
      <c r="F34" s="189" t="e">
        <f>COUNTIFS(#REF!,"No",#REF!,
"Yes")
/
COUNTIFS(#REF!,"&lt;&gt;Prefer not to say",#REF!,
"&lt;&gt;-",#REF!,
"Yes")</f>
        <v>#REF!</v>
      </c>
      <c r="G34" s="101" t="e">
        <f>COUNTIFS(#REF!,"Yes",#REF!,
"Yes",#REF!,
G$1)
/
COUNTIFS(#REF!,"&lt;&gt;Prefer not to say",#REF!,
"&lt;&gt;-",#REF!,
"Yes",#REF!,
G$1)</f>
        <v>#REF!</v>
      </c>
      <c r="H34" s="102" t="e">
        <f>COUNTIFS(#REF!,"Yes",#REF!,
"Yes",#REF!,
H$1)
/
COUNTIFS(#REF!,"&lt;&gt;Prefer not to say",#REF!,
"&lt;&gt;-",#REF!,
"Yes",#REF!,
H$1)</f>
        <v>#REF!</v>
      </c>
      <c r="I34" s="103" t="e">
        <f>COUNTIFS(#REF!,"Yes",#REF!,
"Yes",#REF!,
I$1)
/
COUNTIFS(#REF!,"&lt;&gt;Prefer not to say",#REF!,
"&lt;&gt;-",#REF!,
"Yes",#REF!,
I$1)</f>
        <v>#REF!</v>
      </c>
      <c r="J34" s="104" t="e">
        <f>COUNTIFS(#REF!,"Yes",#REF!,
"Yes",#REF!,
J$1)
/
COUNTIFS(#REF!,"&lt;&gt;Prefer not to say",#REF!,
"&lt;&gt;-",#REF!,
"Yes",#REF!,
J$1)</f>
        <v>#REF!</v>
      </c>
      <c r="K34" s="101" t="e">
        <f>COUNTIFS(#REF!,"Yes",#REF!,
"Yes",#REF!,
K$1)
/
COUNTIFS(#REF!,"&lt;&gt;Prefer not to say",#REF!,
"&lt;&gt;-",#REF!,
"Yes",#REF!,
K$1)</f>
        <v>#REF!</v>
      </c>
      <c r="L34" s="103" t="e">
        <f>COUNTIFS(#REF!,"Yes",#REF!,
"Yes",#REF!,
L$1)
/
COUNTIFS(#REF!,"&lt;&gt;Prefer not to say",#REF!,
"&lt;&gt;-",#REF!,
"Yes",#REF!,
L$1)</f>
        <v>#REF!</v>
      </c>
      <c r="M34" s="103" t="e">
        <f>COUNTIFS(#REF!,"Yes",#REF!,
"Yes",#REF!,
M$1)
/
COUNTIFS(#REF!,"&lt;&gt;Prefer not to say",#REF!,
"&lt;&gt;-",#REF!,
"Yes",#REF!,
M$1)</f>
        <v>#REF!</v>
      </c>
      <c r="N34" s="104" t="e">
        <f>COUNTIFS(#REF!,"Yes",#REF!,
"Yes",#REF!,
N$1)
/
COUNTIFS(#REF!,"&lt;&gt;Prefer not to say",#REF!,
"&lt;&gt;-",#REF!,
"Yes",#REF!,
N$1)</f>
        <v>#REF!</v>
      </c>
      <c r="O34" s="101" t="e">
        <f>COUNTIFS(#REF!,"Yes",#REF!,
"Yes",#REF!,
O$1)
/
COUNTIFS(#REF!,"&lt;&gt;Prefer not to say",#REF!,
"&lt;&gt;-",#REF!,
"Yes",#REF!,
O$1)</f>
        <v>#REF!</v>
      </c>
      <c r="P34" s="103" t="e">
        <f>COUNTIFS(#REF!,"Yes",#REF!,
"Yes",#REF!,
P$1)
/
COUNTIFS(#REF!,"&lt;&gt;Prefer not to say",#REF!,
"&lt;&gt;-",#REF!,
"Yes",#REF!,
P$1)</f>
        <v>#REF!</v>
      </c>
      <c r="Q34" s="104" t="e">
        <f>COUNTIFS(#REF!,"Yes",#REF!,
"Yes",#REF!,
"&lt;&gt;Complaint was fully investigated and the complaint was fully or partially upheld",#REF!,"&lt;&gt;Complaint was fully investigated and the complaint was not upheld")
/
COUNTIFS(#REF!,"&lt;&gt;Prefer not to say",#REF!,
"&lt;&gt;-",#REF!,
"Yes",#REF!,
"&lt;&gt;Complaint was fully investigated and the complaint was fully or partially upheld",#REF!,"&lt;&gt;Complaint was fully investigated and the complaint was not upheld")</f>
        <v>#REF!</v>
      </c>
    </row>
    <row r="35" spans="2:17">
      <c r="B35" s="186" t="s">
        <v>8</v>
      </c>
      <c r="C35" s="187" t="e">
        <f>SUM(D35:F35)</f>
        <v>#REF!</v>
      </c>
      <c r="D35" s="188" t="e">
        <f>COUNTIFS(#REF!,"Yes",#REF!,
"Yes")
/
COUNTIFS(#REF!,"&lt;&gt;Prefer not to say",#REF!,
"&lt;&gt;-",#REF!,
"Yes")</f>
        <v>#REF!</v>
      </c>
      <c r="E35" s="188" t="e">
        <f>COUNTIFS(#REF!,"Neutral",#REF!,
"Yes")
/
COUNTIFS(#REF!,"&lt;&gt;Prefer not to say",#REF!,
"&lt;&gt;-",#REF!,
"Yes")</f>
        <v>#REF!</v>
      </c>
      <c r="F35" s="189" t="e">
        <f>COUNTIFS(#REF!,"No",#REF!,
"Yes")
/
COUNTIFS(#REF!,"&lt;&gt;Prefer not to say",#REF!,
"&lt;&gt;-",#REF!,
"Yes")</f>
        <v>#REF!</v>
      </c>
      <c r="G35" s="101" t="e">
        <f>COUNTIFS(#REF!,"Yes",#REF!,
"Yes",#REF!,
G$1)
/
COUNTIFS(#REF!,"&lt;&gt;Prefer not to say",#REF!,
"&lt;&gt;-",#REF!,
"Yes",#REF!,
G$1)</f>
        <v>#REF!</v>
      </c>
      <c r="H35" s="102" t="e">
        <f>COUNTIFS(#REF!,"Yes",#REF!,
"Yes",#REF!,
H$1)
/
COUNTIFS(#REF!,"&lt;&gt;Prefer not to say",#REF!,
"&lt;&gt;-",#REF!,
"Yes",#REF!,
H$1)</f>
        <v>#REF!</v>
      </c>
      <c r="I35" s="103" t="e">
        <f>COUNTIFS(#REF!,"Yes",#REF!,
"Yes",#REF!,
I$1)
/
COUNTIFS(#REF!,"&lt;&gt;Prefer not to say",#REF!,
"&lt;&gt;-",#REF!,
"Yes",#REF!,
I$1)</f>
        <v>#REF!</v>
      </c>
      <c r="J35" s="104" t="e">
        <f>COUNTIFS(#REF!,"Yes",#REF!,
"Yes",#REF!,
J$1)
/
COUNTIFS(#REF!,"&lt;&gt;Prefer not to say",#REF!,
"&lt;&gt;-",#REF!,
"Yes",#REF!,
J$1)</f>
        <v>#REF!</v>
      </c>
      <c r="K35" s="101" t="e">
        <f>COUNTIFS(#REF!,"Yes",#REF!,
"Yes",#REF!,
K$1)
/
COUNTIFS(#REF!,"&lt;&gt;Prefer not to say",#REF!,
"&lt;&gt;-",#REF!,
"Yes",#REF!,
K$1)</f>
        <v>#REF!</v>
      </c>
      <c r="L35" s="103" t="e">
        <f>COUNTIFS(#REF!,"Yes",#REF!,
"Yes",#REF!,
L$1)
/
COUNTIFS(#REF!,"&lt;&gt;Prefer not to say",#REF!,
"&lt;&gt;-",#REF!,
"Yes",#REF!,
L$1)</f>
        <v>#REF!</v>
      </c>
      <c r="M35" s="103" t="e">
        <f>COUNTIFS(#REF!,"Yes",#REF!,
"Yes",#REF!,
M$1)
/
COUNTIFS(#REF!,"&lt;&gt;Prefer not to say",#REF!,
"&lt;&gt;-",#REF!,
"Yes",#REF!,
M$1)</f>
        <v>#REF!</v>
      </c>
      <c r="N35" s="104" t="e">
        <f>COUNTIFS(#REF!,"Yes",#REF!,
"Yes",#REF!,
N$1)
/
COUNTIFS(#REF!,"&lt;&gt;Prefer not to say",#REF!,
"&lt;&gt;-",#REF!,
"Yes",#REF!,
N$1)</f>
        <v>#REF!</v>
      </c>
      <c r="O35" s="101" t="e">
        <f>COUNTIFS(#REF!,"Yes",#REF!,
"Yes",#REF!,
O$1)
/
COUNTIFS(#REF!,"&lt;&gt;Prefer not to say",#REF!,
"&lt;&gt;-",#REF!,
"Yes",#REF!,
O$1)</f>
        <v>#REF!</v>
      </c>
      <c r="P35" s="103" t="e">
        <f>COUNTIFS(#REF!,"Yes",#REF!,
"Yes",#REF!,
P$1)
/
COUNTIFS(#REF!,"&lt;&gt;Prefer not to say",#REF!,
"&lt;&gt;-",#REF!,
"Yes",#REF!,
P$1)</f>
        <v>#REF!</v>
      </c>
      <c r="Q35" s="104" t="e">
        <f>COUNTIFS(#REF!,"Yes",#REF!,
"Yes",#REF!,
"&lt;&gt;Complaint was fully investigated and the complaint was fully or partially upheld",#REF!,"&lt;&gt;Complaint was fully investigated and the complaint was not upheld")
/
COUNTIFS(#REF!,"&lt;&gt;Prefer not to say",#REF!,
"&lt;&gt;-",#REF!,
"Yes",#REF!,
"&lt;&gt;Complaint was fully investigated and the complaint was fully or partially upheld",#REF!,"&lt;&gt;Complaint was fully investigated and the complaint was not upheld")</f>
        <v>#REF!</v>
      </c>
    </row>
    <row r="36" spans="2:17">
      <c r="B36" s="186" t="s">
        <v>9</v>
      </c>
      <c r="C36" s="187" t="e">
        <f>SUM(D36:F36)</f>
        <v>#REF!</v>
      </c>
      <c r="D36" s="188" t="e">
        <f>COUNTIFS(#REF!,"Yes",#REF!,
"Yes")
/
COUNTIFS(#REF!,"&lt;&gt;Prefer not to say",#REF!,
"&lt;&gt;-",#REF!,
"Yes")</f>
        <v>#REF!</v>
      </c>
      <c r="E36" s="188" t="e">
        <f>COUNTIFS(#REF!,"Neutral",#REF!,
"Yes")
/
COUNTIFS(#REF!,"&lt;&gt;Prefer not to say",#REF!,
"&lt;&gt;-",#REF!,
"Yes")</f>
        <v>#REF!</v>
      </c>
      <c r="F36" s="189" t="e">
        <f>COUNTIFS(#REF!,"No",#REF!,
"Yes")
/
COUNTIFS(#REF!,"&lt;&gt;Prefer not to say",#REF!,
"&lt;&gt;-",#REF!,
"Yes")</f>
        <v>#REF!</v>
      </c>
      <c r="G36" s="101" t="e">
        <f>COUNTIFS(#REF!,"Yes",#REF!,
"Yes",#REF!,
G$1)
/
COUNTIFS(#REF!,"&lt;&gt;Prefer not to say",#REF!,
"&lt;&gt;-",#REF!,
"Yes",#REF!,
G$1)</f>
        <v>#REF!</v>
      </c>
      <c r="H36" s="103" t="e">
        <f>COUNTIFS(#REF!,"Yes",#REF!,
"Yes",#REF!,
H$1)
/
COUNTIFS(#REF!,"&lt;&gt;Prefer not to say",#REF!,
"&lt;&gt;-",#REF!,
"Yes",#REF!,
H$1)</f>
        <v>#REF!</v>
      </c>
      <c r="I36" s="103" t="e">
        <f>COUNTIFS(#REF!,"Yes",#REF!,
"Yes",#REF!,
I$1)
/
COUNTIFS(#REF!,"&lt;&gt;Prefer not to say",#REF!,
"&lt;&gt;-",#REF!,
"Yes",#REF!,
I$1)</f>
        <v>#REF!</v>
      </c>
      <c r="J36" s="104" t="e">
        <f>COUNTIFS(#REF!,"Yes",#REF!,
"Yes",#REF!,
J$1)
/
COUNTIFS(#REF!,"&lt;&gt;Prefer not to say",#REF!,
"&lt;&gt;-",#REF!,
"Yes",#REF!,
J$1)</f>
        <v>#REF!</v>
      </c>
      <c r="K36" s="101" t="e">
        <f>COUNTIFS(#REF!,"Yes",#REF!,
"Yes",#REF!,
K$1)
/
COUNTIFS(#REF!,"&lt;&gt;Prefer not to say",#REF!,
"&lt;&gt;-",#REF!,
"Yes",#REF!,
K$1)</f>
        <v>#REF!</v>
      </c>
      <c r="L36" s="103" t="e">
        <f>COUNTIFS(#REF!,"Yes",#REF!,
"Yes",#REF!,
L$1)
/
COUNTIFS(#REF!,"&lt;&gt;Prefer not to say",#REF!,
"&lt;&gt;-",#REF!,
"Yes",#REF!,
L$1)</f>
        <v>#REF!</v>
      </c>
      <c r="M36" s="103" t="e">
        <f>COUNTIFS(#REF!,"Yes",#REF!,
"Yes",#REF!,
M$1)
/
COUNTIFS(#REF!,"&lt;&gt;Prefer not to say",#REF!,
"&lt;&gt;-",#REF!,
"Yes",#REF!,
M$1)</f>
        <v>#REF!</v>
      </c>
      <c r="N36" s="104" t="e">
        <f>COUNTIFS(#REF!,"Yes",#REF!,
"Yes",#REF!,
N$1)
/
COUNTIFS(#REF!,"&lt;&gt;Prefer not to say",#REF!,
"&lt;&gt;-",#REF!,
"Yes",#REF!,
N$1)</f>
        <v>#REF!</v>
      </c>
      <c r="O36" s="101" t="e">
        <f>COUNTIFS(#REF!,"Yes",#REF!,
"Yes",#REF!,
O$1)
/
COUNTIFS(#REF!,"&lt;&gt;Prefer not to say",#REF!,
"&lt;&gt;-",#REF!,
"Yes",#REF!,
O$1)</f>
        <v>#REF!</v>
      </c>
      <c r="P36" s="103" t="e">
        <f>COUNTIFS(#REF!,"Yes",#REF!,
"Yes",#REF!,
P$1)
/
COUNTIFS(#REF!,"&lt;&gt;Prefer not to say",#REF!,
"&lt;&gt;-",#REF!,
"Yes",#REF!,
P$1)</f>
        <v>#REF!</v>
      </c>
      <c r="Q36" s="104" t="e">
        <f>COUNTIFS(#REF!,"Yes",#REF!,
"Yes",#REF!,
"&lt;&gt;Complaint was fully investigated and the complaint was fully or partially upheld",#REF!,"&lt;&gt;Complaint was fully investigated and the complaint was not upheld")
/
COUNTIFS(#REF!,"&lt;&gt;Prefer not to say",#REF!,
"&lt;&gt;-",#REF!,
"Yes",#REF!,
"&lt;&gt;Complaint was fully investigated and the complaint was fully or partially upheld",#REF!,"&lt;&gt;Complaint was fully investigated and the complaint was not upheld")</f>
        <v>#REF!</v>
      </c>
    </row>
    <row r="37" spans="2:17" ht="15.75" thickBot="1">
      <c r="B37" s="185" t="s">
        <v>10</v>
      </c>
      <c r="C37" s="191" t="e">
        <f>SUM(D37:F37)</f>
        <v>#REF!</v>
      </c>
      <c r="D37" s="192" t="e">
        <f>COUNTIFS(#REF!,"Yes",#REF!,
"Yes")
/
COUNTIFS(#REF!,"&lt;&gt;Prefer not to say",#REF!,
"&lt;&gt;-",#REF!,
"Yes")</f>
        <v>#REF!</v>
      </c>
      <c r="E37" s="192" t="e">
        <f>COUNTIFS(#REF!,"Neutral",#REF!,
"Yes")
/
COUNTIFS(#REF!,"&lt;&gt;Prefer not to say",#REF!,
"&lt;&gt;-",#REF!,
"Yes")</f>
        <v>#REF!</v>
      </c>
      <c r="F37" s="193" t="e">
        <f>COUNTIFS(#REF!,"No",#REF!,
"Yes")
/
COUNTIFS(#REF!,"&lt;&gt;Prefer not to say",#REF!,
"&lt;&gt;-",#REF!,
"Yes")</f>
        <v>#REF!</v>
      </c>
      <c r="G37" s="105" t="e">
        <f>COUNTIFS(#REF!,"Yes",#REF!,
"Yes",#REF!,
G$1)
/
COUNTIFS(#REF!,"&lt;&gt;Prefer not to say",#REF!,
"&lt;&gt;-",#REF!,
"Yes",#REF!,
G$1)</f>
        <v>#REF!</v>
      </c>
      <c r="H37" s="106" t="e">
        <f>COUNTIFS(#REF!,"Yes",#REF!,
"Yes",#REF!,
H$1)
/
COUNTIFS(#REF!,"&lt;&gt;Prefer not to say",#REF!,
"&lt;&gt;-",#REF!,
"Yes",#REF!,
H$1)</f>
        <v>#REF!</v>
      </c>
      <c r="I37" s="106" t="e">
        <f>COUNTIFS(#REF!,"Yes",#REF!,
"Yes",#REF!,
I$1)
/
COUNTIFS(#REF!,"&lt;&gt;Prefer not to say",#REF!,
"&lt;&gt;-",#REF!,
"Yes",#REF!,
I$1)</f>
        <v>#REF!</v>
      </c>
      <c r="J37" s="107" t="e">
        <f>COUNTIFS(#REF!,"Yes",#REF!,
"Yes",#REF!,
J$1)
/
COUNTIFS(#REF!,"&lt;&gt;Prefer not to say",#REF!,
"&lt;&gt;-",#REF!,
"Yes",#REF!,
J$1)</f>
        <v>#REF!</v>
      </c>
      <c r="K37" s="108" t="e">
        <f>COUNTIFS(#REF!,"Yes",#REF!,
"Yes",#REF!,
K$1)
/
COUNTIFS(#REF!,"&lt;&gt;Prefer not to say",#REF!,
"&lt;&gt;-",#REF!,
"Yes",#REF!,
K$1)</f>
        <v>#REF!</v>
      </c>
      <c r="L37" s="106" t="e">
        <f>COUNTIFS(#REF!,"Yes",#REF!,
"Yes",#REF!,
L$1)
/
COUNTIFS(#REF!,"&lt;&gt;Prefer not to say",#REF!,
"&lt;&gt;-",#REF!,
"Yes",#REF!,
L$1)</f>
        <v>#REF!</v>
      </c>
      <c r="M37" s="106" t="e">
        <f>COUNTIFS(#REF!,"Yes",#REF!,
"Yes",#REF!,
M$1)
/
COUNTIFS(#REF!,"&lt;&gt;Prefer not to say",#REF!,
"&lt;&gt;-",#REF!,
"Yes",#REF!,
M$1)</f>
        <v>#REF!</v>
      </c>
      <c r="N37" s="107" t="e">
        <f>COUNTIFS(#REF!,"Yes",#REF!,
"Yes",#REF!,
N$1)
/
COUNTIFS(#REF!,"&lt;&gt;Prefer not to say",#REF!,
"&lt;&gt;-",#REF!,
"Yes",#REF!,
N$1)</f>
        <v>#REF!</v>
      </c>
      <c r="O37" s="108" t="e">
        <f>COUNTIFS(#REF!,"Yes",#REF!,
"Yes",#REF!,
O$1)
/
COUNTIFS(#REF!,"&lt;&gt;Prefer not to say",#REF!,
"&lt;&gt;-",#REF!,
"Yes",#REF!,
O$1)</f>
        <v>#REF!</v>
      </c>
      <c r="P37" s="106" t="e">
        <f>COUNTIFS(#REF!,"Yes",#REF!,
"Yes",#REF!,
P$1)
/
COUNTIFS(#REF!,"&lt;&gt;Prefer not to say",#REF!,
"&lt;&gt;-",#REF!,
"Yes",#REF!,
P$1)</f>
        <v>#REF!</v>
      </c>
      <c r="Q37" s="107" t="e">
        <f>COUNTIFS(#REF!,"Yes",#REF!,
"Yes",#REF!,
"&lt;&gt;Complaint was fully investigated and the complaint was fully or partially upheld",#REF!,"&lt;&gt;Complaint was fully investigated and the complaint was not upheld")
/
COUNTIFS(#REF!,"&lt;&gt;Prefer not to say",#REF!,
"&lt;&gt;-",#REF!,
"Yes",#REF!,
"&lt;&gt;Complaint was fully investigated and the complaint was fully or partially upheld",#REF!,"&lt;&gt;Complaint was fully investigated and the complaint was not upheld")</f>
        <v>#REF!</v>
      </c>
    </row>
    <row r="38" spans="2:17" ht="15.75" thickTop="1">
      <c r="B38" s="8" t="s">
        <v>1</v>
      </c>
      <c r="C38" s="8"/>
      <c r="D38" s="5" t="e">
        <f>COUNTIF(#REF!,"Yes")</f>
        <v>#REF!</v>
      </c>
      <c r="E38" s="5" t="e">
        <f>COUNTIF(#REF!,"-")</f>
        <v>#REF!</v>
      </c>
      <c r="F38" s="9" t="e">
        <f>COUNTIF(#REF!,"No")</f>
        <v>#REF!</v>
      </c>
      <c r="J38" s="9"/>
      <c r="K38" s="21"/>
      <c r="N38" s="9"/>
      <c r="O38" s="8"/>
      <c r="Q38" s="13"/>
    </row>
    <row r="39" spans="2:17" ht="15.75" thickBot="1">
      <c r="B39" s="36" t="s">
        <v>11</v>
      </c>
      <c r="C39" s="37"/>
      <c r="D39" s="38" t="e">
        <f>COUNTIF(#REF!,"Yes")</f>
        <v>#REF!</v>
      </c>
      <c r="E39" s="38" t="e">
        <f>COUNTIF(#REF!,"-")</f>
        <v>#REF!</v>
      </c>
      <c r="F39" s="39" t="e">
        <f>COUNTIF(#REF!,"No")</f>
        <v>#REF!</v>
      </c>
      <c r="G39" s="38"/>
      <c r="H39" s="38"/>
      <c r="I39" s="38"/>
      <c r="J39" s="39"/>
      <c r="K39" s="40"/>
      <c r="L39" s="38"/>
      <c r="M39" s="38"/>
      <c r="N39" s="39"/>
      <c r="O39" s="36"/>
      <c r="P39" s="81"/>
      <c r="Q39" s="41"/>
    </row>
    <row r="40" spans="2:17" ht="15.75" thickTop="1">
      <c r="B40" s="15" t="s">
        <v>26</v>
      </c>
      <c r="C40" s="15"/>
      <c r="D40" s="16" t="e">
        <f>COUNTIF(#REF!,"Yes")</f>
        <v>#REF!</v>
      </c>
      <c r="E40" s="16" t="e">
        <f>COUNTIF(#REF!,"-")</f>
        <v>#REF!</v>
      </c>
      <c r="F40" s="24" t="e">
        <f>COUNTIF(#REF!,"No")</f>
        <v>#REF!</v>
      </c>
      <c r="G40" s="16"/>
      <c r="H40" s="16"/>
      <c r="I40" s="16"/>
      <c r="J40" s="24"/>
      <c r="K40" s="23"/>
      <c r="L40" s="16"/>
      <c r="M40" s="16"/>
      <c r="N40" s="24"/>
      <c r="O40" s="15"/>
      <c r="P40" s="82"/>
      <c r="Q40" s="17"/>
    </row>
    <row r="41" spans="2:17">
      <c r="B41" s="15" t="s">
        <v>28</v>
      </c>
      <c r="C41" s="15"/>
      <c r="D41" s="16" t="e">
        <f>COUNTIF(#REF!,"Yes")</f>
        <v>#REF!</v>
      </c>
      <c r="E41" s="16" t="e">
        <f>COUNTIF(#REF!,"-")</f>
        <v>#REF!</v>
      </c>
      <c r="F41" s="24" t="e">
        <f>COUNTIF(#REF!,"No")</f>
        <v>#REF!</v>
      </c>
      <c r="G41" s="16"/>
      <c r="H41" s="16"/>
      <c r="I41" s="16"/>
      <c r="J41" s="24"/>
      <c r="K41" s="23"/>
      <c r="L41" s="16"/>
      <c r="M41" s="16"/>
      <c r="N41" s="24"/>
      <c r="O41" s="15"/>
      <c r="P41" s="82"/>
      <c r="Q41" s="17"/>
    </row>
    <row r="42" spans="2:17">
      <c r="B42" s="18" t="s">
        <v>34</v>
      </c>
      <c r="C42" s="18"/>
      <c r="D42" s="19" t="e">
        <f>COUNTIF(#REF!,"Yes")</f>
        <v>#REF!</v>
      </c>
      <c r="E42" s="19" t="e">
        <f>COUNTIF(#REF!,"-")</f>
        <v>#REF!</v>
      </c>
      <c r="F42" s="26" t="e">
        <f>COUNTIF(#REF!,"No")</f>
        <v>#REF!</v>
      </c>
      <c r="G42" s="19"/>
      <c r="H42" s="19"/>
      <c r="I42" s="19"/>
      <c r="J42" s="26"/>
      <c r="K42" s="25"/>
      <c r="L42" s="19"/>
      <c r="M42" s="19"/>
      <c r="N42" s="26"/>
      <c r="O42" s="18"/>
      <c r="P42" s="83"/>
      <c r="Q42" s="20"/>
    </row>
    <row r="43" spans="2:17">
      <c r="B43" s="8" t="s">
        <v>0</v>
      </c>
      <c r="C43" s="8"/>
      <c r="D43" s="5" t="e">
        <f>COUNTIF(#REF!,"Yes")</f>
        <v>#REF!</v>
      </c>
      <c r="E43" s="5" t="e">
        <f>COUNTIF(#REF!,"-")</f>
        <v>#REF!</v>
      </c>
      <c r="F43" s="9" t="e">
        <f>COUNTIF(#REF!,"No")</f>
        <v>#REF!</v>
      </c>
      <c r="J43" s="9"/>
      <c r="K43" s="21"/>
      <c r="N43" s="9"/>
      <c r="O43" s="8"/>
      <c r="Q43" s="13"/>
    </row>
    <row r="44" spans="2:17">
      <c r="B44" s="8" t="s">
        <v>6</v>
      </c>
      <c r="C44" s="42"/>
      <c r="D44" s="5" t="e">
        <f>COUNTIF(#REF!,"Yes")</f>
        <v>#REF!</v>
      </c>
      <c r="E44" s="5" t="e">
        <f>COUNTIF(#REF!,"-")</f>
        <v>#REF!</v>
      </c>
      <c r="F44" s="9" t="e">
        <f>COUNTIF(#REF!,"No")</f>
        <v>#REF!</v>
      </c>
      <c r="G44" s="5" t="e">
        <f>COUNTIF(#REF!,G1)</f>
        <v>#REF!</v>
      </c>
      <c r="H44" s="5" t="e">
        <f>COUNTIF(#REF!,H1)</f>
        <v>#REF!</v>
      </c>
      <c r="I44" s="5" t="e">
        <f>COUNTIF(#REF!,I1)</f>
        <v>#REF!</v>
      </c>
      <c r="J44" s="9" t="e">
        <f>COUNTIF(#REF!,J1)</f>
        <v>#REF!</v>
      </c>
      <c r="K44" s="21"/>
      <c r="N44" s="9"/>
      <c r="O44" s="8"/>
      <c r="Q44" s="13"/>
    </row>
    <row r="45" spans="2:17">
      <c r="B45" s="8" t="s">
        <v>17</v>
      </c>
      <c r="C45" s="42"/>
      <c r="D45" s="5" t="e">
        <f>COUNTIF(#REF!,"Yes")</f>
        <v>#REF!</v>
      </c>
      <c r="E45" s="5" t="e">
        <f>COUNTIF(#REF!,"-")</f>
        <v>#REF!</v>
      </c>
      <c r="F45" s="43" t="e">
        <f>COUNTIF(#REF!,"No")</f>
        <v>#REF!</v>
      </c>
      <c r="G45" s="51"/>
      <c r="J45" s="9"/>
      <c r="K45" s="21" t="e">
        <f>COUNTIF(#REF!,K1)</f>
        <v>#REF!</v>
      </c>
      <c r="L45" s="5" t="e">
        <f>COUNTIF(#REF!,L1)</f>
        <v>#REF!</v>
      </c>
      <c r="M45" s="5" t="e">
        <f>COUNTIF(#REF!,M1)</f>
        <v>#REF!</v>
      </c>
      <c r="N45" s="9" t="e">
        <f>COUNTIF(#REF!,N1)</f>
        <v>#REF!</v>
      </c>
      <c r="O45" s="8"/>
      <c r="Q45" s="13"/>
    </row>
    <row r="46" spans="2:17">
      <c r="B46" s="10" t="s">
        <v>31</v>
      </c>
      <c r="C46" s="10"/>
      <c r="D46" s="11" t="e">
        <f>COUNTIF(#REF!,"Yes")</f>
        <v>#REF!</v>
      </c>
      <c r="E46" s="11" t="e">
        <f>COUNTIF(#REF!,"-")</f>
        <v>#REF!</v>
      </c>
      <c r="F46" s="12" t="e">
        <f>COUNTIF(#REF!,"No")</f>
        <v>#REF!</v>
      </c>
      <c r="G46" s="11"/>
      <c r="H46" s="11"/>
      <c r="I46" s="11"/>
      <c r="J46" s="12"/>
      <c r="K46" s="22"/>
      <c r="L46" s="11"/>
      <c r="M46" s="11"/>
      <c r="N46" s="12"/>
      <c r="O46" s="10" t="e">
        <f>COUNTIF(#REF!,O1)</f>
        <v>#REF!</v>
      </c>
      <c r="P46" s="84" t="e">
        <f>COUNTIF(#REF!,P1)</f>
        <v>#REF!</v>
      </c>
      <c r="Q46" s="14" t="e">
        <f>COUNTIFS(#REF!,"&lt;&gt;Complaint was fully investigated and the complaint was fully or partially upheld",#REF!,"&lt;&gt;Complaint was fully investigated and the complaint was not upheld")</f>
        <v>#REF!</v>
      </c>
    </row>
  </sheetData>
  <pageMargins left="0.7" right="0.7" top="0.75" bottom="0.75" header="0.3" footer="0.3"/>
  <pageSetup paperSize="9" scale="4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597B5-B99D-4807-8EB7-A17021152B07}">
  <sheetPr codeName="Sheet23"/>
  <dimension ref="A1:J46"/>
  <sheetViews>
    <sheetView workbookViewId="0">
      <selection activeCell="V31" sqref="V31"/>
    </sheetView>
  </sheetViews>
  <sheetFormatPr defaultRowHeight="15"/>
  <cols>
    <col min="1" max="1" width="95.42578125" customWidth="1"/>
    <col min="2" max="2" width="14.42578125" bestFit="1" customWidth="1"/>
    <col min="3" max="3" width="8.42578125" bestFit="1" customWidth="1"/>
    <col min="4" max="4" width="12" bestFit="1" customWidth="1"/>
    <col min="5" max="5" width="15.5703125" bestFit="1" customWidth="1"/>
    <col min="6" max="7" width="11.42578125" bestFit="1" customWidth="1"/>
    <col min="8" max="8" width="13.5703125" customWidth="1"/>
    <col min="9" max="9" width="15.5703125" bestFit="1" customWidth="1"/>
    <col min="10" max="10" width="11.42578125" bestFit="1" customWidth="1"/>
  </cols>
  <sheetData>
    <row r="1" spans="1:7">
      <c r="A1" s="91" t="s">
        <v>16</v>
      </c>
    </row>
    <row r="2" spans="1:7">
      <c r="A2" s="91"/>
    </row>
    <row r="3" spans="1:7" s="68" customFormat="1">
      <c r="A3" s="88" t="s">
        <v>0</v>
      </c>
      <c r="B3" t="s">
        <v>36</v>
      </c>
    </row>
    <row r="5" spans="1:7">
      <c r="A5" s="88" t="s">
        <v>185</v>
      </c>
      <c r="B5" s="88" t="s">
        <v>186</v>
      </c>
    </row>
    <row r="6" spans="1:7">
      <c r="A6" s="88" t="s">
        <v>187</v>
      </c>
      <c r="B6" s="5" t="s">
        <v>36</v>
      </c>
      <c r="C6" s="5" t="s">
        <v>35</v>
      </c>
      <c r="D6" s="5" t="s">
        <v>57</v>
      </c>
      <c r="E6" s="5" t="s">
        <v>52</v>
      </c>
      <c r="F6" s="5" t="s">
        <v>188</v>
      </c>
    </row>
    <row r="7" spans="1:7">
      <c r="A7" s="89" t="s">
        <v>56</v>
      </c>
      <c r="B7">
        <v>5</v>
      </c>
      <c r="C7">
        <v>15</v>
      </c>
      <c r="D7">
        <v>3</v>
      </c>
      <c r="E7">
        <v>1</v>
      </c>
      <c r="F7">
        <v>24</v>
      </c>
      <c r="G7" s="92">
        <f>C7/(B7+C7)</f>
        <v>0.75</v>
      </c>
    </row>
    <row r="8" spans="1:7">
      <c r="A8" s="89" t="s">
        <v>47</v>
      </c>
      <c r="B8">
        <v>10</v>
      </c>
      <c r="C8">
        <v>14</v>
      </c>
      <c r="D8">
        <v>4</v>
      </c>
      <c r="F8">
        <v>28</v>
      </c>
      <c r="G8" s="92">
        <f t="shared" ref="G8:G15" si="0">C8/(B8+C8)</f>
        <v>0.58333333333333337</v>
      </c>
    </row>
    <row r="9" spans="1:7">
      <c r="A9" s="89" t="s">
        <v>59</v>
      </c>
      <c r="C9">
        <v>1</v>
      </c>
      <c r="F9">
        <v>1</v>
      </c>
      <c r="G9" s="92">
        <f t="shared" si="0"/>
        <v>1</v>
      </c>
    </row>
    <row r="10" spans="1:7">
      <c r="A10" s="89" t="s">
        <v>58</v>
      </c>
      <c r="B10">
        <v>3</v>
      </c>
      <c r="C10">
        <v>14</v>
      </c>
      <c r="D10">
        <v>4</v>
      </c>
      <c r="E10">
        <v>2</v>
      </c>
      <c r="F10">
        <v>23</v>
      </c>
      <c r="G10" s="92">
        <f t="shared" si="0"/>
        <v>0.82352941176470584</v>
      </c>
    </row>
    <row r="11" spans="1:7">
      <c r="A11" s="89" t="s">
        <v>53</v>
      </c>
      <c r="B11">
        <v>2</v>
      </c>
      <c r="C11">
        <v>10</v>
      </c>
      <c r="F11">
        <v>12</v>
      </c>
      <c r="G11" s="92">
        <f t="shared" si="0"/>
        <v>0.83333333333333337</v>
      </c>
    </row>
    <row r="12" spans="1:7">
      <c r="A12" s="89" t="s">
        <v>54</v>
      </c>
      <c r="B12">
        <v>1</v>
      </c>
      <c r="C12">
        <v>8</v>
      </c>
      <c r="F12">
        <v>9</v>
      </c>
      <c r="G12" s="92">
        <f t="shared" si="0"/>
        <v>0.88888888888888884</v>
      </c>
    </row>
    <row r="13" spans="1:7">
      <c r="A13" s="89" t="s">
        <v>52</v>
      </c>
      <c r="C13">
        <v>4</v>
      </c>
      <c r="F13">
        <v>4</v>
      </c>
      <c r="G13" s="92">
        <f t="shared" si="0"/>
        <v>1</v>
      </c>
    </row>
    <row r="14" spans="1:7">
      <c r="A14" s="89" t="s">
        <v>40</v>
      </c>
      <c r="B14">
        <v>12</v>
      </c>
      <c r="C14">
        <v>23</v>
      </c>
      <c r="D14">
        <v>3</v>
      </c>
      <c r="F14">
        <v>38</v>
      </c>
      <c r="G14" s="93">
        <f t="shared" si="0"/>
        <v>0.65714285714285714</v>
      </c>
    </row>
    <row r="15" spans="1:7">
      <c r="A15" s="89" t="s">
        <v>188</v>
      </c>
      <c r="B15">
        <v>33</v>
      </c>
      <c r="C15">
        <v>89</v>
      </c>
      <c r="D15">
        <v>14</v>
      </c>
      <c r="E15">
        <v>3</v>
      </c>
      <c r="F15">
        <v>139</v>
      </c>
      <c r="G15" s="92">
        <f t="shared" si="0"/>
        <v>0.72950819672131151</v>
      </c>
    </row>
    <row r="18" spans="1:10">
      <c r="A18" s="88" t="s">
        <v>0</v>
      </c>
      <c r="B18" t="s">
        <v>36</v>
      </c>
      <c r="C18" s="68"/>
      <c r="D18" s="68"/>
      <c r="E18" s="68"/>
      <c r="F18" s="68"/>
      <c r="G18" s="68"/>
    </row>
    <row r="20" spans="1:10">
      <c r="A20" s="88" t="s">
        <v>187</v>
      </c>
      <c r="B20" s="5" t="s">
        <v>185</v>
      </c>
    </row>
    <row r="21" spans="1:10">
      <c r="C21" s="94" t="e">
        <f>B21/$B$25</f>
        <v>#DIV/0!</v>
      </c>
      <c r="H21" s="88"/>
      <c r="I21" s="88"/>
      <c r="J21" s="88"/>
    </row>
    <row r="22" spans="1:10">
      <c r="C22" s="94" t="e">
        <f t="shared" ref="C22:C24" si="1">B22/$B$25</f>
        <v>#DIV/0!</v>
      </c>
    </row>
    <row r="23" spans="1:10">
      <c r="C23" s="94" t="e">
        <f t="shared" si="1"/>
        <v>#DIV/0!</v>
      </c>
    </row>
    <row r="24" spans="1:10">
      <c r="C24" s="94" t="e">
        <f t="shared" si="1"/>
        <v>#DIV/0!</v>
      </c>
    </row>
    <row r="28" spans="1:10">
      <c r="A28" s="88" t="s">
        <v>0</v>
      </c>
      <c r="B28" t="s">
        <v>36</v>
      </c>
      <c r="C28" s="68"/>
      <c r="D28" s="68"/>
      <c r="E28" s="68"/>
      <c r="F28" s="68"/>
      <c r="G28" s="68"/>
    </row>
    <row r="30" spans="1:10">
      <c r="A30" s="88" t="s">
        <v>187</v>
      </c>
      <c r="B30" s="5" t="s">
        <v>185</v>
      </c>
      <c r="C30" s="88"/>
      <c r="D30" s="88"/>
      <c r="E30" s="88"/>
      <c r="F30" s="88"/>
      <c r="G30" s="88"/>
      <c r="H30" s="88"/>
      <c r="I30" s="88"/>
      <c r="J30" s="88"/>
    </row>
    <row r="31" spans="1:10">
      <c r="C31" s="94" t="e">
        <f>B31/($B$36-$B$35)</f>
        <v>#DIV/0!</v>
      </c>
    </row>
    <row r="32" spans="1:10">
      <c r="C32" s="94" t="e">
        <f t="shared" ref="C32:C34" si="2">B32/($B$36-$B$35)</f>
        <v>#DIV/0!</v>
      </c>
    </row>
    <row r="33" spans="1:10">
      <c r="C33" s="94" t="e">
        <f t="shared" si="2"/>
        <v>#DIV/0!</v>
      </c>
    </row>
    <row r="34" spans="1:10">
      <c r="C34" s="94" t="e">
        <f t="shared" si="2"/>
        <v>#DIV/0!</v>
      </c>
    </row>
    <row r="39" spans="1:10">
      <c r="A39" s="88" t="s">
        <v>0</v>
      </c>
      <c r="B39" t="s">
        <v>36</v>
      </c>
    </row>
    <row r="41" spans="1:10">
      <c r="A41" s="88" t="s">
        <v>187</v>
      </c>
      <c r="B41" s="5" t="s">
        <v>185</v>
      </c>
      <c r="C41" s="88"/>
      <c r="D41" s="88"/>
      <c r="E41" s="88"/>
      <c r="F41" s="88"/>
      <c r="G41" s="88"/>
      <c r="H41" s="88"/>
      <c r="I41" s="88"/>
      <c r="J41" s="88"/>
    </row>
    <row r="42" spans="1:10">
      <c r="C42" s="94" t="e">
        <f>B42/(B$50-SUM(B$47:B$49)-B$45)</f>
        <v>#DIV/0!</v>
      </c>
    </row>
    <row r="43" spans="1:10">
      <c r="C43" s="94" t="e">
        <f t="shared" ref="C43:C46" si="3">B43/(B$50-SUM(B$47:B$49)-B$45)</f>
        <v>#DIV/0!</v>
      </c>
    </row>
    <row r="44" spans="1:10">
      <c r="C44" s="94" t="e">
        <f t="shared" si="3"/>
        <v>#DIV/0!</v>
      </c>
    </row>
    <row r="45" spans="1:10">
      <c r="C45" s="94"/>
    </row>
    <row r="46" spans="1:10">
      <c r="C46" s="94" t="e">
        <f t="shared" si="3"/>
        <v>#DIV/0!</v>
      </c>
    </row>
  </sheetData>
  <pageMargins left="0.7" right="0.7" top="0.75" bottom="0.75" header="0.3" footer="0.3"/>
  <pageSetup paperSize="9" orientation="portrait"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49C95-840B-46CE-BDCC-80489C3C6E9A}">
  <sheetPr codeName="Sheet24"/>
  <dimension ref="A1"/>
  <sheetViews>
    <sheetView zoomScale="70" zoomScaleNormal="70" workbookViewId="0">
      <selection activeCell="V31" sqref="V31"/>
    </sheetView>
  </sheetViews>
  <sheetFormatPr defaultRowHeight="15"/>
  <sheetData/>
  <pageMargins left="0.7" right="0.7" top="0.75" bottom="0.75" header="0.3" footer="0.3"/>
  <pageSetup paperSize="9" scale="95"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F08A2-A3AB-466B-8232-9FF1C047D741}">
  <sheetPr codeName="Sheet25">
    <pageSetUpPr fitToPage="1"/>
  </sheetPr>
  <dimension ref="A1"/>
  <sheetViews>
    <sheetView showGridLines="0" topLeftCell="A4" zoomScale="70" zoomScaleNormal="70" workbookViewId="0">
      <selection activeCell="V31" sqref="V31"/>
    </sheetView>
  </sheetViews>
  <sheetFormatPr defaultRowHeight="15"/>
  <sheetData>
    <row r="1" spans="1:1">
      <c r="A1" s="69" t="s">
        <v>189</v>
      </c>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C010D-ACAA-4822-8DE2-2778B57757D5}">
  <sheetPr codeName="Sheet3"/>
  <dimension ref="A1:C49"/>
  <sheetViews>
    <sheetView zoomScaleNormal="100" workbookViewId="0"/>
  </sheetViews>
  <sheetFormatPr defaultColWidth="9.140625" defaultRowHeight="14.25"/>
  <cols>
    <col min="1" max="1" width="46.7109375" style="153" customWidth="1"/>
    <col min="2" max="3" width="21.42578125" style="153" customWidth="1"/>
    <col min="4" max="16384" width="9.140625" style="153"/>
  </cols>
  <sheetData>
    <row r="1" spans="1:3" ht="15">
      <c r="A1" s="160" t="s">
        <v>190</v>
      </c>
    </row>
    <row r="3" spans="1:3" ht="15" customHeight="1">
      <c r="A3" s="227" t="s">
        <v>115</v>
      </c>
      <c r="B3" s="229" t="s">
        <v>285</v>
      </c>
      <c r="C3" s="229"/>
    </row>
    <row r="4" spans="1:3">
      <c r="A4" s="228"/>
      <c r="B4" s="172" t="s">
        <v>36</v>
      </c>
      <c r="C4" s="172" t="s">
        <v>35</v>
      </c>
    </row>
    <row r="5" spans="1:3">
      <c r="A5" s="156" t="s">
        <v>116</v>
      </c>
      <c r="B5" s="177">
        <v>0.7</v>
      </c>
      <c r="C5" s="177">
        <v>0.3</v>
      </c>
    </row>
    <row r="6" spans="1:3">
      <c r="A6" s="153" t="s">
        <v>117</v>
      </c>
      <c r="B6" s="178">
        <v>0.26</v>
      </c>
      <c r="C6" s="178">
        <v>0.74</v>
      </c>
    </row>
    <row r="7" spans="1:3">
      <c r="A7" s="157" t="s">
        <v>118</v>
      </c>
      <c r="B7" s="179" t="s">
        <v>291</v>
      </c>
      <c r="C7" s="179" t="s">
        <v>291</v>
      </c>
    </row>
    <row r="8" spans="1:3" ht="15">
      <c r="A8" s="168" t="s">
        <v>119</v>
      </c>
      <c r="B8" s="180">
        <v>0.34</v>
      </c>
      <c r="C8" s="180">
        <v>0.66</v>
      </c>
    </row>
    <row r="9" spans="1:3">
      <c r="A9" s="230" t="s">
        <v>284</v>
      </c>
      <c r="B9" s="230"/>
      <c r="C9" s="230"/>
    </row>
    <row r="10" spans="1:3">
      <c r="A10" s="220" t="s">
        <v>295</v>
      </c>
      <c r="B10" s="220"/>
      <c r="C10" s="220"/>
    </row>
    <row r="11" spans="1:3">
      <c r="A11" s="221" t="s">
        <v>293</v>
      </c>
      <c r="B11" s="221"/>
      <c r="C11" s="221"/>
    </row>
    <row r="14" spans="1:3" ht="15">
      <c r="A14" s="160" t="s">
        <v>191</v>
      </c>
    </row>
    <row r="16" spans="1:3" ht="15" customHeight="1">
      <c r="A16" s="227" t="s">
        <v>120</v>
      </c>
      <c r="B16" s="229" t="s">
        <v>285</v>
      </c>
      <c r="C16" s="229"/>
    </row>
    <row r="17" spans="1:3">
      <c r="A17" s="228"/>
      <c r="B17" s="172" t="s">
        <v>36</v>
      </c>
      <c r="C17" s="172" t="s">
        <v>35</v>
      </c>
    </row>
    <row r="18" spans="1:3">
      <c r="A18" s="153" t="s">
        <v>121</v>
      </c>
      <c r="B18" s="177">
        <v>0.25</v>
      </c>
      <c r="C18" s="177">
        <v>0.75</v>
      </c>
    </row>
    <row r="19" spans="1:3">
      <c r="A19" s="153" t="s">
        <v>122</v>
      </c>
      <c r="B19" s="178">
        <v>0.36</v>
      </c>
      <c r="C19" s="178">
        <v>0.64</v>
      </c>
    </row>
    <row r="20" spans="1:3">
      <c r="A20" s="153" t="s">
        <v>123</v>
      </c>
      <c r="B20" s="179" t="s">
        <v>291</v>
      </c>
      <c r="C20" s="179" t="s">
        <v>291</v>
      </c>
    </row>
    <row r="21" spans="1:3" ht="15">
      <c r="A21" s="169" t="s">
        <v>124</v>
      </c>
      <c r="B21" s="180">
        <v>0.34</v>
      </c>
      <c r="C21" s="180">
        <v>0.66</v>
      </c>
    </row>
    <row r="22" spans="1:3">
      <c r="A22" s="226" t="s">
        <v>258</v>
      </c>
      <c r="B22" s="226"/>
      <c r="C22" s="226"/>
    </row>
    <row r="23" spans="1:3">
      <c r="A23" s="220" t="s">
        <v>295</v>
      </c>
      <c r="B23" s="219"/>
      <c r="C23" s="219"/>
    </row>
    <row r="24" spans="1:3">
      <c r="A24" s="221" t="s">
        <v>293</v>
      </c>
    </row>
    <row r="25" spans="1:3">
      <c r="A25" s="158"/>
    </row>
    <row r="26" spans="1:3">
      <c r="A26" s="158"/>
    </row>
    <row r="27" spans="1:3" ht="15">
      <c r="A27" s="160" t="s">
        <v>192</v>
      </c>
    </row>
    <row r="29" spans="1:3" ht="15" customHeight="1">
      <c r="A29" s="227" t="s">
        <v>125</v>
      </c>
      <c r="B29" s="229" t="s">
        <v>285</v>
      </c>
      <c r="C29" s="229"/>
    </row>
    <row r="30" spans="1:3">
      <c r="A30" s="228"/>
      <c r="B30" s="200" t="s">
        <v>36</v>
      </c>
      <c r="C30" s="200" t="s">
        <v>35</v>
      </c>
    </row>
    <row r="31" spans="1:3">
      <c r="A31" s="153" t="s">
        <v>126</v>
      </c>
      <c r="B31" s="177" t="s">
        <v>291</v>
      </c>
      <c r="C31" s="177" t="s">
        <v>291</v>
      </c>
    </row>
    <row r="32" spans="1:3">
      <c r="A32" s="153" t="s">
        <v>127</v>
      </c>
      <c r="B32" s="174">
        <v>0.17</v>
      </c>
      <c r="C32" s="174">
        <v>0.83</v>
      </c>
    </row>
    <row r="33" spans="1:3">
      <c r="A33" s="153" t="s">
        <v>128</v>
      </c>
      <c r="B33" s="175">
        <v>0.5</v>
      </c>
      <c r="C33" s="175">
        <v>0.5</v>
      </c>
    </row>
    <row r="34" spans="1:3" ht="15">
      <c r="A34" s="169" t="s">
        <v>129</v>
      </c>
      <c r="B34" s="176">
        <v>0.34</v>
      </c>
      <c r="C34" s="176">
        <v>0.66</v>
      </c>
    </row>
    <row r="35" spans="1:3">
      <c r="A35" s="226" t="s">
        <v>258</v>
      </c>
      <c r="B35" s="226"/>
      <c r="C35" s="226"/>
    </row>
    <row r="36" spans="1:3">
      <c r="A36" s="220" t="s">
        <v>295</v>
      </c>
      <c r="B36" s="219"/>
      <c r="C36" s="219"/>
    </row>
    <row r="37" spans="1:3">
      <c r="A37" s="161" t="s">
        <v>130</v>
      </c>
      <c r="B37" s="161"/>
      <c r="C37" s="161"/>
    </row>
    <row r="38" spans="1:3">
      <c r="A38" s="221" t="s">
        <v>293</v>
      </c>
    </row>
    <row r="41" spans="1:3" ht="15">
      <c r="A41" s="160" t="s">
        <v>193</v>
      </c>
    </row>
    <row r="43" spans="1:3" ht="15" customHeight="1">
      <c r="A43" s="227" t="s">
        <v>131</v>
      </c>
      <c r="B43" s="229" t="s">
        <v>285</v>
      </c>
      <c r="C43" s="229"/>
    </row>
    <row r="44" spans="1:3">
      <c r="A44" s="228"/>
      <c r="B44" s="172" t="s">
        <v>36</v>
      </c>
      <c r="C44" s="172" t="s">
        <v>35</v>
      </c>
    </row>
    <row r="45" spans="1:3">
      <c r="A45" s="158">
        <v>2021</v>
      </c>
      <c r="B45" s="173">
        <v>0.27</v>
      </c>
      <c r="C45" s="173">
        <v>0.73</v>
      </c>
    </row>
    <row r="46" spans="1:3">
      <c r="A46" s="158">
        <v>2022</v>
      </c>
      <c r="B46" s="174">
        <v>0.21</v>
      </c>
      <c r="C46" s="174">
        <v>0.79</v>
      </c>
    </row>
    <row r="47" spans="1:3" ht="15">
      <c r="A47" s="171">
        <v>2023</v>
      </c>
      <c r="B47" s="176">
        <v>0.34</v>
      </c>
      <c r="C47" s="176">
        <v>0.66</v>
      </c>
    </row>
    <row r="48" spans="1:3">
      <c r="A48" s="226" t="s">
        <v>258</v>
      </c>
      <c r="B48" s="226"/>
      <c r="C48" s="226"/>
    </row>
    <row r="49" spans="1:1">
      <c r="A49" s="221" t="s">
        <v>293</v>
      </c>
    </row>
  </sheetData>
  <mergeCells count="12">
    <mergeCell ref="A22:C22"/>
    <mergeCell ref="A3:A4"/>
    <mergeCell ref="B3:C3"/>
    <mergeCell ref="A16:A17"/>
    <mergeCell ref="B16:C16"/>
    <mergeCell ref="A9:C9"/>
    <mergeCell ref="A35:C35"/>
    <mergeCell ref="A43:A44"/>
    <mergeCell ref="B43:C43"/>
    <mergeCell ref="A48:C48"/>
    <mergeCell ref="A29:A30"/>
    <mergeCell ref="B29:C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094E2-B8B5-4434-B567-FBF85E47BA72}">
  <sheetPr codeName="Sheet4"/>
  <dimension ref="A1:G10"/>
  <sheetViews>
    <sheetView zoomScaleNormal="100" workbookViewId="0"/>
  </sheetViews>
  <sheetFormatPr defaultColWidth="9.140625" defaultRowHeight="14.25"/>
  <cols>
    <col min="1" max="1" width="44.42578125" style="153" customWidth="1"/>
    <col min="2" max="3" width="21.42578125" style="153" customWidth="1"/>
    <col min="4" max="16384" width="9.140625" style="153"/>
  </cols>
  <sheetData>
    <row r="1" spans="1:7" ht="15">
      <c r="A1" s="160" t="s">
        <v>194</v>
      </c>
    </row>
    <row r="3" spans="1:7" ht="16.5">
      <c r="A3" s="227" t="s">
        <v>132</v>
      </c>
      <c r="B3" s="229" t="s">
        <v>285</v>
      </c>
      <c r="C3" s="229"/>
    </row>
    <row r="4" spans="1:7">
      <c r="A4" s="228"/>
      <c r="B4" s="172" t="s">
        <v>36</v>
      </c>
      <c r="C4" s="172" t="s">
        <v>35</v>
      </c>
    </row>
    <row r="5" spans="1:7" s="163" customFormat="1" ht="42.75">
      <c r="A5" s="164" t="s">
        <v>133</v>
      </c>
      <c r="B5" s="203">
        <v>0.33</v>
      </c>
      <c r="C5" s="203">
        <v>0.67</v>
      </c>
      <c r="G5" s="153"/>
    </row>
    <row r="6" spans="1:7" s="163" customFormat="1" ht="28.5">
      <c r="A6" s="163" t="s">
        <v>134</v>
      </c>
      <c r="B6" s="204">
        <v>0.25</v>
      </c>
      <c r="C6" s="204">
        <v>0.75</v>
      </c>
      <c r="G6" s="153"/>
    </row>
    <row r="7" spans="1:7" s="163" customFormat="1" ht="28.5">
      <c r="A7" s="163" t="s">
        <v>135</v>
      </c>
      <c r="B7" s="204">
        <v>0.63</v>
      </c>
      <c r="C7" s="204">
        <v>0.37</v>
      </c>
      <c r="G7" s="153"/>
    </row>
    <row r="8" spans="1:7" s="163" customFormat="1" ht="28.5">
      <c r="A8" s="165" t="s">
        <v>136</v>
      </c>
      <c r="B8" s="205">
        <v>0.64</v>
      </c>
      <c r="C8" s="205">
        <v>0.36</v>
      </c>
      <c r="G8" s="153"/>
    </row>
    <row r="9" spans="1:7" s="163" customFormat="1">
      <c r="A9" s="226" t="s">
        <v>258</v>
      </c>
      <c r="B9" s="226"/>
      <c r="C9" s="226"/>
      <c r="G9" s="153"/>
    </row>
    <row r="10" spans="1:7">
      <c r="A10" s="221" t="s">
        <v>293</v>
      </c>
    </row>
  </sheetData>
  <mergeCells count="3">
    <mergeCell ref="A3:A4"/>
    <mergeCell ref="B3:C3"/>
    <mergeCell ref="A9:C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660C7-A164-4B10-8123-42ECFF841F43}">
  <sheetPr codeName="Sheet5"/>
  <dimension ref="A1:C35"/>
  <sheetViews>
    <sheetView zoomScaleNormal="100" workbookViewId="0"/>
  </sheetViews>
  <sheetFormatPr defaultColWidth="9.140625" defaultRowHeight="14.25"/>
  <cols>
    <col min="1" max="1" width="44.42578125" style="153" customWidth="1"/>
    <col min="2" max="3" width="21.42578125" style="153" customWidth="1"/>
    <col min="4" max="16384" width="9.140625" style="153"/>
  </cols>
  <sheetData>
    <row r="1" spans="1:3" ht="15">
      <c r="A1" s="160" t="s">
        <v>195</v>
      </c>
    </row>
    <row r="3" spans="1:3" ht="16.5">
      <c r="A3" s="227" t="s">
        <v>115</v>
      </c>
      <c r="B3" s="229" t="s">
        <v>285</v>
      </c>
      <c r="C3" s="229"/>
    </row>
    <row r="4" spans="1:3">
      <c r="A4" s="228"/>
      <c r="B4" s="172" t="s">
        <v>36</v>
      </c>
      <c r="C4" s="172" t="s">
        <v>35</v>
      </c>
    </row>
    <row r="5" spans="1:3">
      <c r="A5" s="156" t="s">
        <v>116</v>
      </c>
      <c r="B5" s="177" t="s">
        <v>291</v>
      </c>
      <c r="C5" s="177" t="s">
        <v>291</v>
      </c>
    </row>
    <row r="6" spans="1:3">
      <c r="A6" s="153" t="s">
        <v>117</v>
      </c>
      <c r="B6" s="178">
        <v>0.68</v>
      </c>
      <c r="C6" s="178">
        <v>0.32</v>
      </c>
    </row>
    <row r="7" spans="1:3">
      <c r="A7" s="157" t="s">
        <v>118</v>
      </c>
      <c r="B7" s="179" t="s">
        <v>291</v>
      </c>
      <c r="C7" s="179" t="s">
        <v>291</v>
      </c>
    </row>
    <row r="8" spans="1:3" ht="15">
      <c r="A8" s="168" t="s">
        <v>119</v>
      </c>
      <c r="B8" s="176">
        <v>0.63</v>
      </c>
      <c r="C8" s="176">
        <v>0.37</v>
      </c>
    </row>
    <row r="9" spans="1:3">
      <c r="A9" s="226" t="s">
        <v>258</v>
      </c>
      <c r="B9" s="226"/>
      <c r="C9" s="226"/>
    </row>
    <row r="10" spans="1:3">
      <c r="A10" s="220" t="s">
        <v>295</v>
      </c>
      <c r="B10" s="219"/>
      <c r="C10" s="219"/>
    </row>
    <row r="11" spans="1:3">
      <c r="A11" s="221" t="s">
        <v>293</v>
      </c>
    </row>
    <row r="14" spans="1:3" ht="15">
      <c r="A14" s="160" t="s">
        <v>196</v>
      </c>
    </row>
    <row r="16" spans="1:3" ht="15" customHeight="1">
      <c r="A16" s="227" t="s">
        <v>125</v>
      </c>
      <c r="B16" s="229" t="s">
        <v>285</v>
      </c>
      <c r="C16" s="229"/>
    </row>
    <row r="17" spans="1:3">
      <c r="A17" s="228"/>
      <c r="B17" s="172" t="s">
        <v>36</v>
      </c>
      <c r="C17" s="172" t="s">
        <v>35</v>
      </c>
    </row>
    <row r="18" spans="1:3">
      <c r="A18" s="153" t="s">
        <v>126</v>
      </c>
      <c r="B18" s="173">
        <v>0.44</v>
      </c>
      <c r="C18" s="173">
        <v>0.56000000000000005</v>
      </c>
    </row>
    <row r="19" spans="1:3">
      <c r="A19" s="153" t="s">
        <v>127</v>
      </c>
      <c r="B19" s="174">
        <v>0.56000000000000005</v>
      </c>
      <c r="C19" s="174">
        <v>0.44</v>
      </c>
    </row>
    <row r="20" spans="1:3">
      <c r="A20" s="153" t="s">
        <v>128</v>
      </c>
      <c r="B20" s="175">
        <v>0.76</v>
      </c>
      <c r="C20" s="175">
        <v>0.24</v>
      </c>
    </row>
    <row r="21" spans="1:3" ht="15">
      <c r="A21" s="169" t="s">
        <v>129</v>
      </c>
      <c r="B21" s="176">
        <v>0.63</v>
      </c>
      <c r="C21" s="176">
        <v>0.37</v>
      </c>
    </row>
    <row r="22" spans="1:3">
      <c r="A22" s="226" t="s">
        <v>258</v>
      </c>
      <c r="B22" s="226"/>
      <c r="C22" s="226"/>
    </row>
    <row r="23" spans="1:3">
      <c r="A23" s="161" t="s">
        <v>130</v>
      </c>
    </row>
    <row r="24" spans="1:3">
      <c r="A24" s="221" t="s">
        <v>293</v>
      </c>
    </row>
    <row r="27" spans="1:3" ht="15">
      <c r="A27" s="160" t="s">
        <v>197</v>
      </c>
    </row>
    <row r="29" spans="1:3" ht="15" customHeight="1">
      <c r="A29" s="227" t="s">
        <v>131</v>
      </c>
      <c r="B29" s="229" t="s">
        <v>285</v>
      </c>
      <c r="C29" s="229"/>
    </row>
    <row r="30" spans="1:3">
      <c r="A30" s="228"/>
      <c r="B30" s="172" t="s">
        <v>36</v>
      </c>
      <c r="C30" s="172" t="s">
        <v>35</v>
      </c>
    </row>
    <row r="31" spans="1:3">
      <c r="A31" s="158">
        <v>2021</v>
      </c>
      <c r="B31" s="173">
        <v>0.56999999999999995</v>
      </c>
      <c r="C31" s="173">
        <v>0.43</v>
      </c>
    </row>
    <row r="32" spans="1:3">
      <c r="A32" s="158">
        <v>2022</v>
      </c>
      <c r="B32" s="174">
        <v>0.57999999999999996</v>
      </c>
      <c r="C32" s="174">
        <v>0.42</v>
      </c>
    </row>
    <row r="33" spans="1:3" ht="15">
      <c r="A33" s="171">
        <v>2023</v>
      </c>
      <c r="B33" s="181">
        <v>0.63</v>
      </c>
      <c r="C33" s="181">
        <v>0.37</v>
      </c>
    </row>
    <row r="34" spans="1:3">
      <c r="A34" s="226" t="s">
        <v>258</v>
      </c>
      <c r="B34" s="226"/>
      <c r="C34" s="226"/>
    </row>
    <row r="35" spans="1:3">
      <c r="A35" s="221" t="s">
        <v>293</v>
      </c>
    </row>
  </sheetData>
  <mergeCells count="9">
    <mergeCell ref="A34:C34"/>
    <mergeCell ref="A16:A17"/>
    <mergeCell ref="B16:C16"/>
    <mergeCell ref="A3:A4"/>
    <mergeCell ref="B3:C3"/>
    <mergeCell ref="A9:C9"/>
    <mergeCell ref="A22:C22"/>
    <mergeCell ref="A29:A30"/>
    <mergeCell ref="B29:C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94DE2-7E19-4A9B-922C-8ABEFBD07B50}">
  <sheetPr codeName="Sheet29"/>
  <dimension ref="A1:C42"/>
  <sheetViews>
    <sheetView topLeftCell="A12" zoomScaleNormal="100" workbookViewId="0">
      <selection activeCell="Q9" sqref="Q9"/>
    </sheetView>
  </sheetViews>
  <sheetFormatPr defaultColWidth="9.140625" defaultRowHeight="14.25"/>
  <cols>
    <col min="1" max="1" width="44.42578125" style="153" customWidth="1"/>
    <col min="2" max="3" width="21.42578125" style="154" customWidth="1"/>
    <col min="4" max="16384" width="9.140625" style="153"/>
  </cols>
  <sheetData>
    <row r="1" spans="1:3" ht="15">
      <c r="A1" s="160" t="s">
        <v>250</v>
      </c>
    </row>
    <row r="3" spans="1:3" ht="15" customHeight="1">
      <c r="A3" s="227" t="s">
        <v>115</v>
      </c>
      <c r="B3" s="229" t="s">
        <v>285</v>
      </c>
      <c r="C3" s="229"/>
    </row>
    <row r="4" spans="1:3">
      <c r="A4" s="228"/>
      <c r="B4" s="172" t="s">
        <v>36</v>
      </c>
      <c r="C4" s="172" t="s">
        <v>35</v>
      </c>
    </row>
    <row r="5" spans="1:3">
      <c r="A5" s="156" t="s">
        <v>116</v>
      </c>
      <c r="B5" s="177">
        <v>0.67</v>
      </c>
      <c r="C5" s="177">
        <v>0.33</v>
      </c>
    </row>
    <row r="6" spans="1:3">
      <c r="A6" s="153" t="s">
        <v>117</v>
      </c>
      <c r="B6" s="174">
        <v>0.43</v>
      </c>
      <c r="C6" s="174">
        <v>0.56999999999999995</v>
      </c>
    </row>
    <row r="7" spans="1:3">
      <c r="A7" s="157" t="s">
        <v>118</v>
      </c>
      <c r="B7" s="179">
        <v>0.1</v>
      </c>
      <c r="C7" s="179">
        <v>0.9</v>
      </c>
    </row>
    <row r="8" spans="1:3" ht="15">
      <c r="A8" s="168" t="s">
        <v>119</v>
      </c>
      <c r="B8" s="176">
        <v>0.42</v>
      </c>
      <c r="C8" s="176">
        <v>0.57999999999999996</v>
      </c>
    </row>
    <row r="9" spans="1:3">
      <c r="A9" s="221" t="s">
        <v>293</v>
      </c>
    </row>
    <row r="12" spans="1:3" ht="15">
      <c r="A12" s="160" t="s">
        <v>251</v>
      </c>
    </row>
    <row r="14" spans="1:3" ht="15" customHeight="1">
      <c r="A14" s="227" t="s">
        <v>120</v>
      </c>
      <c r="B14" s="229" t="s">
        <v>285</v>
      </c>
      <c r="C14" s="229"/>
    </row>
    <row r="15" spans="1:3">
      <c r="A15" s="228"/>
      <c r="B15" s="172" t="s">
        <v>36</v>
      </c>
      <c r="C15" s="172" t="s">
        <v>35</v>
      </c>
    </row>
    <row r="16" spans="1:3">
      <c r="A16" s="153" t="s">
        <v>121</v>
      </c>
      <c r="B16" s="173">
        <v>0.35</v>
      </c>
      <c r="C16" s="173">
        <v>0.65</v>
      </c>
    </row>
    <row r="17" spans="1:3">
      <c r="A17" s="153" t="s">
        <v>122</v>
      </c>
      <c r="B17" s="174">
        <v>0.43</v>
      </c>
      <c r="C17" s="174">
        <v>0.56999999999999995</v>
      </c>
    </row>
    <row r="18" spans="1:3">
      <c r="A18" s="153" t="s">
        <v>123</v>
      </c>
      <c r="B18" s="175">
        <v>0.7</v>
      </c>
      <c r="C18" s="175">
        <v>0.3</v>
      </c>
    </row>
    <row r="19" spans="1:3" ht="15">
      <c r="A19" s="169" t="s">
        <v>124</v>
      </c>
      <c r="B19" s="176">
        <v>0.42</v>
      </c>
      <c r="C19" s="176">
        <v>0.57999999999999996</v>
      </c>
    </row>
    <row r="20" spans="1:3">
      <c r="A20" s="221" t="s">
        <v>293</v>
      </c>
    </row>
    <row r="21" spans="1:3">
      <c r="A21" s="158"/>
    </row>
    <row r="22" spans="1:3">
      <c r="A22" s="158"/>
    </row>
    <row r="23" spans="1:3" ht="15">
      <c r="A23" s="160" t="s">
        <v>252</v>
      </c>
    </row>
    <row r="25" spans="1:3" ht="15" customHeight="1">
      <c r="A25" s="227" t="s">
        <v>125</v>
      </c>
      <c r="B25" s="229" t="s">
        <v>285</v>
      </c>
      <c r="C25" s="229"/>
    </row>
    <row r="26" spans="1:3">
      <c r="A26" s="228"/>
      <c r="B26" s="172" t="s">
        <v>36</v>
      </c>
      <c r="C26" s="172" t="s">
        <v>35</v>
      </c>
    </row>
    <row r="27" spans="1:3">
      <c r="A27" s="153" t="s">
        <v>126</v>
      </c>
      <c r="B27" s="173">
        <v>0.27</v>
      </c>
      <c r="C27" s="173">
        <v>0.73</v>
      </c>
    </row>
    <row r="28" spans="1:3">
      <c r="A28" s="153" t="s">
        <v>127</v>
      </c>
      <c r="B28" s="174">
        <v>0.37</v>
      </c>
      <c r="C28" s="174">
        <v>0.63</v>
      </c>
    </row>
    <row r="29" spans="1:3">
      <c r="A29" s="153" t="s">
        <v>128</v>
      </c>
      <c r="B29" s="175">
        <v>0.5</v>
      </c>
      <c r="C29" s="175">
        <v>0.5</v>
      </c>
    </row>
    <row r="30" spans="1:3" ht="15">
      <c r="A30" s="169" t="s">
        <v>129</v>
      </c>
      <c r="B30" s="176">
        <v>0.42</v>
      </c>
      <c r="C30" s="176">
        <v>0.57999999999999996</v>
      </c>
    </row>
    <row r="31" spans="1:3">
      <c r="A31" s="161" t="s">
        <v>130</v>
      </c>
    </row>
    <row r="32" spans="1:3">
      <c r="A32" s="221" t="s">
        <v>293</v>
      </c>
    </row>
    <row r="35" spans="1:3" ht="15">
      <c r="A35" s="160" t="s">
        <v>253</v>
      </c>
    </row>
    <row r="37" spans="1:3" ht="15" customHeight="1">
      <c r="A37" s="227" t="s">
        <v>131</v>
      </c>
      <c r="B37" s="229" t="s">
        <v>285</v>
      </c>
      <c r="C37" s="229"/>
    </row>
    <row r="38" spans="1:3">
      <c r="A38" s="228"/>
      <c r="B38" s="172" t="s">
        <v>36</v>
      </c>
      <c r="C38" s="172" t="s">
        <v>35</v>
      </c>
    </row>
    <row r="39" spans="1:3">
      <c r="A39" s="158">
        <v>2021</v>
      </c>
      <c r="B39" s="174">
        <v>0.42</v>
      </c>
      <c r="C39" s="174">
        <v>0.57999999999999996</v>
      </c>
    </row>
    <row r="40" spans="1:3">
      <c r="A40" s="158">
        <v>2022</v>
      </c>
      <c r="B40" s="174">
        <v>0.33</v>
      </c>
      <c r="C40" s="174">
        <v>0.67</v>
      </c>
    </row>
    <row r="41" spans="1:3" ht="15">
      <c r="A41" s="182">
        <v>2023</v>
      </c>
      <c r="B41" s="176">
        <v>0.42</v>
      </c>
      <c r="C41" s="176">
        <v>0.57999999999999996</v>
      </c>
    </row>
    <row r="42" spans="1:3">
      <c r="A42" s="221" t="s">
        <v>293</v>
      </c>
    </row>
  </sheetData>
  <mergeCells count="8">
    <mergeCell ref="A37:A38"/>
    <mergeCell ref="B37:C37"/>
    <mergeCell ref="A25:A26"/>
    <mergeCell ref="B25:C25"/>
    <mergeCell ref="A3:A4"/>
    <mergeCell ref="B3:C3"/>
    <mergeCell ref="A14:A15"/>
    <mergeCell ref="B14:C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0C6E1-A705-436B-8F5D-7790AF4C8E17}">
  <sheetPr codeName="Sheet30"/>
  <dimension ref="A1:C42"/>
  <sheetViews>
    <sheetView topLeftCell="A12" zoomScaleNormal="100" workbookViewId="0">
      <selection activeCell="Q9" sqref="Q9"/>
    </sheetView>
  </sheetViews>
  <sheetFormatPr defaultColWidth="9.140625" defaultRowHeight="14.25"/>
  <cols>
    <col min="1" max="1" width="44.42578125" style="153" customWidth="1"/>
    <col min="2" max="3" width="21.42578125" style="153" customWidth="1"/>
    <col min="4" max="16384" width="9.140625" style="153"/>
  </cols>
  <sheetData>
    <row r="1" spans="1:3" ht="15">
      <c r="A1" s="160" t="s">
        <v>254</v>
      </c>
    </row>
    <row r="3" spans="1:3" ht="15" customHeight="1">
      <c r="A3" s="198" t="s">
        <v>115</v>
      </c>
      <c r="B3" s="229" t="s">
        <v>285</v>
      </c>
      <c r="C3" s="229"/>
    </row>
    <row r="4" spans="1:3">
      <c r="A4" s="199"/>
      <c r="B4" s="172" t="s">
        <v>36</v>
      </c>
      <c r="C4" s="172" t="s">
        <v>35</v>
      </c>
    </row>
    <row r="5" spans="1:3">
      <c r="A5" s="156" t="s">
        <v>116</v>
      </c>
      <c r="B5" s="177">
        <v>0</v>
      </c>
      <c r="C5" s="177">
        <v>1</v>
      </c>
    </row>
    <row r="6" spans="1:3">
      <c r="A6" s="153" t="s">
        <v>117</v>
      </c>
      <c r="B6" s="174">
        <v>0.23</v>
      </c>
      <c r="C6" s="174">
        <v>0.77</v>
      </c>
    </row>
    <row r="7" spans="1:3">
      <c r="A7" s="157" t="s">
        <v>118</v>
      </c>
      <c r="B7" s="179">
        <v>0.1</v>
      </c>
      <c r="C7" s="179">
        <v>0.9</v>
      </c>
    </row>
    <row r="8" spans="1:3" ht="15">
      <c r="A8" s="168" t="s">
        <v>119</v>
      </c>
      <c r="B8" s="176">
        <v>0.16</v>
      </c>
      <c r="C8" s="176">
        <v>0.84</v>
      </c>
    </row>
    <row r="9" spans="1:3">
      <c r="A9" s="221" t="s">
        <v>293</v>
      </c>
    </row>
    <row r="12" spans="1:3" ht="15">
      <c r="A12" s="160" t="s">
        <v>255</v>
      </c>
    </row>
    <row r="14" spans="1:3" ht="16.5">
      <c r="A14" s="198" t="s">
        <v>120</v>
      </c>
      <c r="B14" s="229" t="s">
        <v>285</v>
      </c>
      <c r="C14" s="229"/>
    </row>
    <row r="15" spans="1:3">
      <c r="A15" s="199"/>
      <c r="B15" s="172" t="s">
        <v>36</v>
      </c>
      <c r="C15" s="172" t="s">
        <v>35</v>
      </c>
    </row>
    <row r="16" spans="1:3">
      <c r="A16" s="153" t="s">
        <v>121</v>
      </c>
      <c r="B16" s="173">
        <v>0.12</v>
      </c>
      <c r="C16" s="173">
        <v>0.88</v>
      </c>
    </row>
    <row r="17" spans="1:3">
      <c r="A17" s="153" t="s">
        <v>122</v>
      </c>
      <c r="B17" s="174">
        <v>0.19</v>
      </c>
      <c r="C17" s="174">
        <v>0.81</v>
      </c>
    </row>
    <row r="18" spans="1:3">
      <c r="A18" s="153" t="s">
        <v>123</v>
      </c>
      <c r="B18" s="175">
        <v>0.3</v>
      </c>
      <c r="C18" s="175">
        <v>0.7</v>
      </c>
    </row>
    <row r="19" spans="1:3" ht="15">
      <c r="A19" s="169" t="s">
        <v>124</v>
      </c>
      <c r="B19" s="176">
        <v>0.16</v>
      </c>
      <c r="C19" s="176">
        <v>0.84</v>
      </c>
    </row>
    <row r="20" spans="1:3">
      <c r="A20" s="221" t="s">
        <v>293</v>
      </c>
    </row>
    <row r="21" spans="1:3">
      <c r="A21" s="158"/>
    </row>
    <row r="22" spans="1:3">
      <c r="A22" s="158"/>
    </row>
    <row r="23" spans="1:3" ht="15">
      <c r="A23" s="160" t="s">
        <v>256</v>
      </c>
    </row>
    <row r="25" spans="1:3" ht="16.5">
      <c r="A25" s="198" t="s">
        <v>125</v>
      </c>
      <c r="B25" s="229" t="s">
        <v>285</v>
      </c>
      <c r="C25" s="229"/>
    </row>
    <row r="26" spans="1:3">
      <c r="A26" s="199"/>
      <c r="B26" s="172" t="s">
        <v>36</v>
      </c>
      <c r="C26" s="172" t="s">
        <v>35</v>
      </c>
    </row>
    <row r="27" spans="1:3">
      <c r="A27" s="153" t="s">
        <v>126</v>
      </c>
      <c r="B27" s="173">
        <v>0.27</v>
      </c>
      <c r="C27" s="173">
        <v>0.73</v>
      </c>
    </row>
    <row r="28" spans="1:3">
      <c r="A28" s="153" t="s">
        <v>127</v>
      </c>
      <c r="B28" s="174">
        <v>0.16</v>
      </c>
      <c r="C28" s="174">
        <v>0.84</v>
      </c>
    </row>
    <row r="29" spans="1:3">
      <c r="A29" s="153" t="s">
        <v>128</v>
      </c>
      <c r="B29" s="175">
        <v>0.14000000000000001</v>
      </c>
      <c r="C29" s="175">
        <v>0.86</v>
      </c>
    </row>
    <row r="30" spans="1:3" ht="15">
      <c r="A30" s="169" t="s">
        <v>129</v>
      </c>
      <c r="B30" s="176">
        <v>0.16</v>
      </c>
      <c r="C30" s="176">
        <v>0.84</v>
      </c>
    </row>
    <row r="31" spans="1:3">
      <c r="A31" s="161" t="s">
        <v>130</v>
      </c>
    </row>
    <row r="32" spans="1:3">
      <c r="A32" s="221" t="s">
        <v>293</v>
      </c>
    </row>
    <row r="35" spans="1:3" ht="15">
      <c r="A35" s="160" t="s">
        <v>257</v>
      </c>
    </row>
    <row r="37" spans="1:3" ht="16.5">
      <c r="A37" s="198" t="s">
        <v>131</v>
      </c>
      <c r="B37" s="229" t="s">
        <v>285</v>
      </c>
      <c r="C37" s="229"/>
    </row>
    <row r="38" spans="1:3">
      <c r="A38" s="199"/>
      <c r="B38" s="172" t="s">
        <v>36</v>
      </c>
      <c r="C38" s="172" t="s">
        <v>35</v>
      </c>
    </row>
    <row r="39" spans="1:3">
      <c r="A39" s="158">
        <v>2021</v>
      </c>
      <c r="B39" s="174">
        <v>0.28999999999999998</v>
      </c>
      <c r="C39" s="174">
        <v>0.71</v>
      </c>
    </row>
    <row r="40" spans="1:3">
      <c r="A40" s="158">
        <v>2022</v>
      </c>
      <c r="B40" s="174">
        <v>0.19</v>
      </c>
      <c r="C40" s="174">
        <v>0.81</v>
      </c>
    </row>
    <row r="41" spans="1:3" s="160" customFormat="1" ht="15">
      <c r="A41" s="182">
        <v>2023</v>
      </c>
      <c r="B41" s="176">
        <v>0.16</v>
      </c>
      <c r="C41" s="176">
        <v>0.84</v>
      </c>
    </row>
    <row r="42" spans="1:3">
      <c r="A42" s="221" t="s">
        <v>293</v>
      </c>
    </row>
  </sheetData>
  <mergeCells count="4">
    <mergeCell ref="B3:C3"/>
    <mergeCell ref="B25:C25"/>
    <mergeCell ref="B14:C14"/>
    <mergeCell ref="B37:C3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414F3-E646-400E-9BE0-44BABCF4E6C2}">
  <sheetPr codeName="Sheet6"/>
  <dimension ref="A1:C50"/>
  <sheetViews>
    <sheetView zoomScaleNormal="100" workbookViewId="0"/>
  </sheetViews>
  <sheetFormatPr defaultColWidth="9.140625" defaultRowHeight="14.25"/>
  <cols>
    <col min="1" max="1" width="44.42578125" style="153" customWidth="1"/>
    <col min="2" max="3" width="21.42578125" style="153" customWidth="1"/>
    <col min="4" max="16384" width="9.140625" style="153"/>
  </cols>
  <sheetData>
    <row r="1" spans="1:3" ht="17.25">
      <c r="A1" s="160" t="s">
        <v>296</v>
      </c>
    </row>
    <row r="3" spans="1:3" ht="16.5">
      <c r="A3" s="227" t="s">
        <v>115</v>
      </c>
      <c r="B3" s="229" t="s">
        <v>297</v>
      </c>
      <c r="C3" s="229"/>
    </row>
    <row r="4" spans="1:3">
      <c r="A4" s="228"/>
      <c r="B4" s="211" t="s">
        <v>36</v>
      </c>
      <c r="C4" s="211" t="s">
        <v>35</v>
      </c>
    </row>
    <row r="5" spans="1:3">
      <c r="A5" s="156" t="s">
        <v>116</v>
      </c>
      <c r="B5" s="177" t="s">
        <v>291</v>
      </c>
      <c r="C5" s="177" t="s">
        <v>291</v>
      </c>
    </row>
    <row r="6" spans="1:3">
      <c r="A6" s="153" t="s">
        <v>117</v>
      </c>
      <c r="B6" s="209">
        <v>0.73</v>
      </c>
      <c r="C6" s="209">
        <v>0.27</v>
      </c>
    </row>
    <row r="7" spans="1:3">
      <c r="A7" s="157" t="s">
        <v>118</v>
      </c>
      <c r="B7" s="210" t="s">
        <v>291</v>
      </c>
      <c r="C7" s="210" t="s">
        <v>291</v>
      </c>
    </row>
    <row r="8" spans="1:3" ht="15">
      <c r="A8" s="168" t="s">
        <v>119</v>
      </c>
      <c r="B8" s="208">
        <v>0.74</v>
      </c>
      <c r="C8" s="208">
        <v>0.26</v>
      </c>
    </row>
    <row r="9" spans="1:3" ht="15">
      <c r="A9" s="224" t="s">
        <v>299</v>
      </c>
      <c r="B9" s="223"/>
      <c r="C9" s="223"/>
    </row>
    <row r="10" spans="1:3">
      <c r="A10" s="231" t="s">
        <v>298</v>
      </c>
      <c r="B10" s="231"/>
      <c r="C10" s="231"/>
    </row>
    <row r="11" spans="1:3">
      <c r="A11" s="220" t="s">
        <v>295</v>
      </c>
      <c r="B11" s="217"/>
      <c r="C11" s="217"/>
    </row>
    <row r="12" spans="1:3">
      <c r="A12" s="221" t="s">
        <v>293</v>
      </c>
    </row>
    <row r="15" spans="1:3" ht="15">
      <c r="A15" s="160" t="s">
        <v>198</v>
      </c>
    </row>
    <row r="17" spans="1:3" ht="16.5">
      <c r="A17" s="227" t="s">
        <v>120</v>
      </c>
      <c r="B17" s="229" t="s">
        <v>285</v>
      </c>
      <c r="C17" s="229"/>
    </row>
    <row r="18" spans="1:3">
      <c r="A18" s="228"/>
      <c r="B18" s="211" t="s">
        <v>36</v>
      </c>
      <c r="C18" s="211" t="s">
        <v>35</v>
      </c>
    </row>
    <row r="19" spans="1:3">
      <c r="A19" s="156" t="s">
        <v>121</v>
      </c>
      <c r="B19" s="206">
        <v>0.76</v>
      </c>
      <c r="C19" s="206">
        <v>0.24</v>
      </c>
    </row>
    <row r="20" spans="1:3">
      <c r="A20" s="157" t="s">
        <v>122</v>
      </c>
      <c r="B20" s="207">
        <v>0.7</v>
      </c>
      <c r="C20" s="207">
        <v>0.3</v>
      </c>
    </row>
    <row r="21" spans="1:3" ht="15">
      <c r="A21" s="168" t="s">
        <v>137</v>
      </c>
      <c r="B21" s="208">
        <v>0.74</v>
      </c>
      <c r="C21" s="208">
        <v>0.26</v>
      </c>
    </row>
    <row r="22" spans="1:3" ht="15">
      <c r="A22" s="224" t="s">
        <v>299</v>
      </c>
      <c r="B22" s="223"/>
      <c r="C22" s="223"/>
    </row>
    <row r="23" spans="1:3" ht="14.25" customHeight="1">
      <c r="A23" s="231" t="s">
        <v>298</v>
      </c>
      <c r="B23" s="231"/>
      <c r="C23" s="231"/>
    </row>
    <row r="24" spans="1:3">
      <c r="A24" s="221" t="s">
        <v>293</v>
      </c>
    </row>
    <row r="25" spans="1:3">
      <c r="A25" s="158"/>
    </row>
    <row r="26" spans="1:3">
      <c r="A26" s="158"/>
    </row>
    <row r="27" spans="1:3" ht="15">
      <c r="A27" s="160" t="s">
        <v>199</v>
      </c>
    </row>
    <row r="29" spans="1:3" ht="15" customHeight="1">
      <c r="A29" s="227" t="s">
        <v>125</v>
      </c>
      <c r="B29" s="229" t="s">
        <v>285</v>
      </c>
      <c r="C29" s="229"/>
    </row>
    <row r="30" spans="1:3">
      <c r="A30" s="228"/>
      <c r="B30" s="211" t="s">
        <v>36</v>
      </c>
      <c r="C30" s="211" t="s">
        <v>35</v>
      </c>
    </row>
    <row r="31" spans="1:3">
      <c r="A31" s="153" t="s">
        <v>126</v>
      </c>
      <c r="B31" s="206">
        <v>0.91</v>
      </c>
      <c r="C31" s="206">
        <v>0.09</v>
      </c>
    </row>
    <row r="32" spans="1:3">
      <c r="A32" s="153" t="s">
        <v>127</v>
      </c>
      <c r="B32" s="209">
        <v>0.74</v>
      </c>
      <c r="C32" s="209">
        <v>0.26</v>
      </c>
    </row>
    <row r="33" spans="1:3">
      <c r="A33" s="153" t="s">
        <v>128</v>
      </c>
      <c r="B33" s="207">
        <v>0.65</v>
      </c>
      <c r="C33" s="207">
        <v>0.35</v>
      </c>
    </row>
    <row r="34" spans="1:3" ht="15">
      <c r="A34" s="169" t="s">
        <v>129</v>
      </c>
      <c r="B34" s="208">
        <v>0.74</v>
      </c>
      <c r="C34" s="208">
        <v>0.26</v>
      </c>
    </row>
    <row r="35" spans="1:3" ht="15">
      <c r="A35" s="224" t="s">
        <v>299</v>
      </c>
      <c r="B35" s="223"/>
      <c r="C35" s="223"/>
    </row>
    <row r="36" spans="1:3" ht="14.25" customHeight="1">
      <c r="A36" s="231" t="s">
        <v>298</v>
      </c>
      <c r="B36" s="231"/>
      <c r="C36" s="231"/>
    </row>
    <row r="37" spans="1:3">
      <c r="A37" s="161" t="s">
        <v>130</v>
      </c>
    </row>
    <row r="38" spans="1:3">
      <c r="A38" s="221" t="s">
        <v>293</v>
      </c>
    </row>
    <row r="41" spans="1:3" ht="15">
      <c r="A41" s="160" t="s">
        <v>200</v>
      </c>
    </row>
    <row r="43" spans="1:3" ht="16.5">
      <c r="A43" s="227" t="s">
        <v>131</v>
      </c>
      <c r="B43" s="229" t="s">
        <v>285</v>
      </c>
      <c r="C43" s="229"/>
    </row>
    <row r="44" spans="1:3">
      <c r="A44" s="228"/>
      <c r="B44" s="211" t="s">
        <v>36</v>
      </c>
      <c r="C44" s="211" t="s">
        <v>35</v>
      </c>
    </row>
    <row r="45" spans="1:3">
      <c r="A45" s="158">
        <v>2021</v>
      </c>
      <c r="B45" s="206">
        <v>0.84375</v>
      </c>
      <c r="C45" s="206">
        <v>0.15625</v>
      </c>
    </row>
    <row r="46" spans="1:3">
      <c r="A46" s="158">
        <v>2022</v>
      </c>
      <c r="B46" s="209">
        <v>0.83333333333333337</v>
      </c>
      <c r="C46" s="209">
        <v>0.16666666666666666</v>
      </c>
    </row>
    <row r="47" spans="1:3" s="160" customFormat="1" ht="15">
      <c r="A47" s="182">
        <v>2023</v>
      </c>
      <c r="B47" s="208">
        <v>0.74468085106382975</v>
      </c>
      <c r="C47" s="208">
        <v>0.25531914893617019</v>
      </c>
    </row>
    <row r="48" spans="1:3" s="160" customFormat="1" ht="15">
      <c r="A48" s="224" t="s">
        <v>299</v>
      </c>
      <c r="B48" s="223"/>
      <c r="C48" s="223"/>
    </row>
    <row r="49" spans="1:3" ht="14.25" customHeight="1">
      <c r="A49" s="231" t="s">
        <v>298</v>
      </c>
      <c r="B49" s="231"/>
      <c r="C49" s="231"/>
    </row>
    <row r="50" spans="1:3">
      <c r="A50" s="221" t="s">
        <v>293</v>
      </c>
    </row>
  </sheetData>
  <mergeCells count="12">
    <mergeCell ref="A23:C23"/>
    <mergeCell ref="A3:A4"/>
    <mergeCell ref="B3:C3"/>
    <mergeCell ref="A17:A18"/>
    <mergeCell ref="B17:C17"/>
    <mergeCell ref="A10:C10"/>
    <mergeCell ref="A43:A44"/>
    <mergeCell ref="B43:C43"/>
    <mergeCell ref="A49:C49"/>
    <mergeCell ref="A36:C36"/>
    <mergeCell ref="A29:A30"/>
    <mergeCell ref="B29:C2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927E8-6908-4F0E-9DCC-67B18771930D}">
  <sheetPr codeName="Sheet7"/>
  <dimension ref="A1:C48"/>
  <sheetViews>
    <sheetView zoomScaleNormal="100" workbookViewId="0">
      <selection activeCell="Q9" sqref="Q9"/>
    </sheetView>
  </sheetViews>
  <sheetFormatPr defaultColWidth="9.140625" defaultRowHeight="14.25"/>
  <cols>
    <col min="1" max="1" width="44.42578125" style="153" customWidth="1"/>
    <col min="2" max="3" width="21.42578125" style="153" customWidth="1"/>
    <col min="4" max="16384" width="9.140625" style="153"/>
  </cols>
  <sheetData>
    <row r="1" spans="1:3" ht="15">
      <c r="A1" s="160" t="s">
        <v>201</v>
      </c>
    </row>
    <row r="3" spans="1:3" ht="16.5">
      <c r="A3" s="227" t="s">
        <v>115</v>
      </c>
      <c r="B3" s="229" t="s">
        <v>285</v>
      </c>
      <c r="C3" s="229"/>
    </row>
    <row r="4" spans="1:3">
      <c r="A4" s="228"/>
      <c r="B4" s="172" t="s">
        <v>36</v>
      </c>
      <c r="C4" s="172" t="s">
        <v>35</v>
      </c>
    </row>
    <row r="5" spans="1:3">
      <c r="A5" s="156" t="s">
        <v>116</v>
      </c>
      <c r="B5" s="177" t="s">
        <v>291</v>
      </c>
      <c r="C5" s="177" t="s">
        <v>291</v>
      </c>
    </row>
    <row r="6" spans="1:3">
      <c r="A6" s="153" t="s">
        <v>117</v>
      </c>
      <c r="B6" s="174">
        <v>0.36</v>
      </c>
      <c r="C6" s="174">
        <v>0.64</v>
      </c>
    </row>
    <row r="7" spans="1:3">
      <c r="A7" s="157" t="s">
        <v>118</v>
      </c>
      <c r="B7" s="179" t="s">
        <v>291</v>
      </c>
      <c r="C7" s="179" t="s">
        <v>291</v>
      </c>
    </row>
    <row r="8" spans="1:3" ht="15">
      <c r="A8" s="168" t="s">
        <v>119</v>
      </c>
      <c r="B8" s="176">
        <v>0.5</v>
      </c>
      <c r="C8" s="176">
        <v>0.5</v>
      </c>
    </row>
    <row r="9" spans="1:3">
      <c r="A9" s="226" t="s">
        <v>258</v>
      </c>
      <c r="B9" s="226"/>
      <c r="C9" s="226"/>
    </row>
    <row r="10" spans="1:3">
      <c r="A10" s="220" t="s">
        <v>295</v>
      </c>
      <c r="B10" s="219"/>
      <c r="C10" s="219"/>
    </row>
    <row r="11" spans="1:3">
      <c r="A11" s="221" t="s">
        <v>293</v>
      </c>
    </row>
    <row r="14" spans="1:3" ht="15">
      <c r="A14" s="160" t="s">
        <v>202</v>
      </c>
    </row>
    <row r="16" spans="1:3" ht="16.5">
      <c r="A16" s="227" t="s">
        <v>120</v>
      </c>
      <c r="B16" s="229" t="s">
        <v>285</v>
      </c>
      <c r="C16" s="229"/>
    </row>
    <row r="17" spans="1:3">
      <c r="A17" s="228"/>
      <c r="B17" s="155" t="s">
        <v>36</v>
      </c>
      <c r="C17" s="155" t="s">
        <v>35</v>
      </c>
    </row>
    <row r="18" spans="1:3">
      <c r="A18" s="156" t="s">
        <v>121</v>
      </c>
      <c r="B18" s="173">
        <v>0.56000000000000005</v>
      </c>
      <c r="C18" s="173">
        <v>0.44</v>
      </c>
    </row>
    <row r="19" spans="1:3">
      <c r="A19" s="157" t="s">
        <v>122</v>
      </c>
      <c r="B19" s="175" t="s">
        <v>291</v>
      </c>
      <c r="C19" s="175" t="s">
        <v>291</v>
      </c>
    </row>
    <row r="20" spans="1:3" ht="15">
      <c r="A20" s="168" t="s">
        <v>137</v>
      </c>
      <c r="B20" s="176">
        <v>0.5</v>
      </c>
      <c r="C20" s="176">
        <v>0.5</v>
      </c>
    </row>
    <row r="21" spans="1:3">
      <c r="A21" s="226" t="s">
        <v>258</v>
      </c>
      <c r="B21" s="226"/>
      <c r="C21" s="226"/>
    </row>
    <row r="22" spans="1:3">
      <c r="A22" s="220" t="s">
        <v>295</v>
      </c>
      <c r="B22" s="219"/>
      <c r="C22" s="219"/>
    </row>
    <row r="23" spans="1:3">
      <c r="A23" s="221" t="s">
        <v>293</v>
      </c>
    </row>
    <row r="24" spans="1:3">
      <c r="A24" s="158"/>
    </row>
    <row r="25" spans="1:3">
      <c r="A25" s="158"/>
    </row>
    <row r="26" spans="1:3" ht="15">
      <c r="A26" s="160" t="s">
        <v>203</v>
      </c>
    </row>
    <row r="28" spans="1:3" ht="16.5">
      <c r="A28" s="227" t="s">
        <v>125</v>
      </c>
      <c r="B28" s="229" t="s">
        <v>285</v>
      </c>
      <c r="C28" s="229"/>
    </row>
    <row r="29" spans="1:3">
      <c r="A29" s="228"/>
      <c r="B29" s="172" t="s">
        <v>36</v>
      </c>
      <c r="C29" s="172" t="s">
        <v>35</v>
      </c>
    </row>
    <row r="30" spans="1:3">
      <c r="A30" s="153" t="s">
        <v>126</v>
      </c>
      <c r="B30" s="173" t="s">
        <v>291</v>
      </c>
      <c r="C30" s="173" t="s">
        <v>291</v>
      </c>
    </row>
    <row r="31" spans="1:3">
      <c r="A31" s="153" t="s">
        <v>127</v>
      </c>
      <c r="B31" s="174">
        <v>0.46</v>
      </c>
      <c r="C31" s="174">
        <v>0.54</v>
      </c>
    </row>
    <row r="32" spans="1:3">
      <c r="A32" s="153" t="s">
        <v>128</v>
      </c>
      <c r="B32" s="175">
        <v>0.43</v>
      </c>
      <c r="C32" s="175">
        <v>0.56999999999999995</v>
      </c>
    </row>
    <row r="33" spans="1:3" ht="15">
      <c r="A33" s="169" t="s">
        <v>129</v>
      </c>
      <c r="B33" s="176">
        <v>0.5</v>
      </c>
      <c r="C33" s="176">
        <v>0.5</v>
      </c>
    </row>
    <row r="34" spans="1:3">
      <c r="A34" s="226" t="s">
        <v>258</v>
      </c>
      <c r="B34" s="226"/>
      <c r="C34" s="226"/>
    </row>
    <row r="35" spans="1:3">
      <c r="A35" s="220" t="s">
        <v>295</v>
      </c>
      <c r="B35" s="219"/>
      <c r="C35" s="219"/>
    </row>
    <row r="36" spans="1:3">
      <c r="A36" s="161" t="s">
        <v>130</v>
      </c>
    </row>
    <row r="37" spans="1:3">
      <c r="A37" s="221" t="s">
        <v>293</v>
      </c>
    </row>
    <row r="40" spans="1:3" ht="15">
      <c r="A40" s="160" t="s">
        <v>204</v>
      </c>
    </row>
    <row r="42" spans="1:3" ht="16.5">
      <c r="A42" s="227" t="s">
        <v>131</v>
      </c>
      <c r="B42" s="229" t="s">
        <v>285</v>
      </c>
      <c r="C42" s="229"/>
    </row>
    <row r="43" spans="1:3">
      <c r="A43" s="228"/>
      <c r="B43" s="172" t="s">
        <v>36</v>
      </c>
      <c r="C43" s="172" t="s">
        <v>35</v>
      </c>
    </row>
    <row r="44" spans="1:3">
      <c r="A44" s="158">
        <v>2021</v>
      </c>
      <c r="B44" s="173">
        <v>0.44</v>
      </c>
      <c r="C44" s="173">
        <v>0.56000000000000005</v>
      </c>
    </row>
    <row r="45" spans="1:3">
      <c r="A45" s="158">
        <v>2022</v>
      </c>
      <c r="B45" s="174">
        <v>0.625</v>
      </c>
      <c r="C45" s="174">
        <v>0.375</v>
      </c>
    </row>
    <row r="46" spans="1:3" s="160" customFormat="1" ht="15">
      <c r="A46" s="182">
        <v>2023</v>
      </c>
      <c r="B46" s="176">
        <v>0.5</v>
      </c>
      <c r="C46" s="176">
        <v>0.5</v>
      </c>
    </row>
    <row r="47" spans="1:3">
      <c r="A47" s="226" t="s">
        <v>258</v>
      </c>
      <c r="B47" s="226"/>
      <c r="C47" s="226"/>
    </row>
    <row r="48" spans="1:3">
      <c r="A48" s="221" t="s">
        <v>293</v>
      </c>
    </row>
  </sheetData>
  <mergeCells count="12">
    <mergeCell ref="A21:C21"/>
    <mergeCell ref="A3:A4"/>
    <mergeCell ref="B3:C3"/>
    <mergeCell ref="A16:A17"/>
    <mergeCell ref="B16:C16"/>
    <mergeCell ref="A9:C9"/>
    <mergeCell ref="B42:C42"/>
    <mergeCell ref="A34:C34"/>
    <mergeCell ref="A47:C47"/>
    <mergeCell ref="A42:A43"/>
    <mergeCell ref="A28:A29"/>
    <mergeCell ref="B28:C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ource_x0020_Folder_x0020_Path xmlns="34f83b31-e3a3-4c2d-9612-204a0f306fd9" xsi:nil="true"/>
    <File_x0020_System_x0020_Path xmlns="34f83b31-e3a3-4c2d-9612-204a0f306fd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A0A868EB91774FBBA1A7F303AAB198" ma:contentTypeVersion="12" ma:contentTypeDescription="Create a new document." ma:contentTypeScope="" ma:versionID="2260d10ae2cd6a638723d7f3162f2fd3">
  <xsd:schema xmlns:xsd="http://www.w3.org/2001/XMLSchema" xmlns:xs="http://www.w3.org/2001/XMLSchema" xmlns:p="http://schemas.microsoft.com/office/2006/metadata/properties" xmlns:ns2="34f83b31-e3a3-4c2d-9612-204a0f306fd9" targetNamespace="http://schemas.microsoft.com/office/2006/metadata/properties" ma:root="true" ma:fieldsID="fae49a7acf7fd56551cd3c2f99985e94" ns2:_="">
    <xsd:import namespace="34f83b31-e3a3-4c2d-9612-204a0f306fd9"/>
    <xsd:element name="properties">
      <xsd:complexType>
        <xsd:sequence>
          <xsd:element name="documentManagement">
            <xsd:complexType>
              <xsd:all>
                <xsd:element ref="ns2:Source_x0020_Folder_x0020_Path" minOccurs="0"/>
                <xsd:element ref="ns2:File_x0020_System_x0020_Path"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f83b31-e3a3-4c2d-9612-204a0f306fd9" elementFormDefault="qualified">
    <xsd:import namespace="http://schemas.microsoft.com/office/2006/documentManagement/types"/>
    <xsd:import namespace="http://schemas.microsoft.com/office/infopath/2007/PartnerControls"/>
    <xsd:element name="Source_x0020_Folder_x0020_Path" ma:index="8" nillable="true" ma:displayName="Source Folder Path" ma:description="" ma:internalName="Source_x0020_Folder_x0020_Path">
      <xsd:simpleType>
        <xsd:restriction base="dms:Text">
          <xsd:maxLength value="255"/>
        </xsd:restriction>
      </xsd:simpleType>
    </xsd:element>
    <xsd:element name="File_x0020_System_x0020_Path" ma:index="9" nillable="true" ma:displayName="File System Path" ma:description="" ma:internalName="File_x0020_System_x0020_Path">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DE90F3-6869-449E-9979-B924387D1292}">
  <ds:schemaRefs>
    <ds:schemaRef ds:uri="http://schemas.microsoft.com/sharepoint/v3/contenttype/forms"/>
  </ds:schemaRefs>
</ds:datastoreItem>
</file>

<file path=customXml/itemProps2.xml><?xml version="1.0" encoding="utf-8"?>
<ds:datastoreItem xmlns:ds="http://schemas.openxmlformats.org/officeDocument/2006/customXml" ds:itemID="{B724E77E-DCD0-4828-B2A1-AFBBD7EA1B2B}">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d77997ad-0d78-4c97-9f36-15019edd0a39"/>
    <ds:schemaRef ds:uri="http://www.w3.org/XML/1998/namespace"/>
    <ds:schemaRef ds:uri="34f83b31-e3a3-4c2d-9612-204a0f306fd9"/>
  </ds:schemaRefs>
</ds:datastoreItem>
</file>

<file path=customXml/itemProps3.xml><?xml version="1.0" encoding="utf-8"?>
<ds:datastoreItem xmlns:ds="http://schemas.openxmlformats.org/officeDocument/2006/customXml" ds:itemID="{A96ABF14-71FF-4FCD-A0EF-6659DC945C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f83b31-e3a3-4c2d-9612-204a0f306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4</vt:i4>
      </vt:variant>
    </vt:vector>
  </HeadingPairs>
  <TitlesOfParts>
    <vt:vector size="30" baseType="lpstr">
      <vt:lpstr>Cover</vt:lpstr>
      <vt:lpstr>Content</vt:lpstr>
      <vt:lpstr>3.1</vt:lpstr>
      <vt:lpstr>3.2</vt:lpstr>
      <vt:lpstr>3.3</vt:lpstr>
      <vt:lpstr>3.4</vt:lpstr>
      <vt:lpstr>3.5</vt:lpstr>
      <vt:lpstr>3.6</vt:lpstr>
      <vt:lpstr>3.7</vt:lpstr>
      <vt:lpstr>3.8</vt:lpstr>
      <vt:lpstr>3.9</vt:lpstr>
      <vt:lpstr>3.10</vt:lpstr>
      <vt:lpstr>3.11</vt:lpstr>
      <vt:lpstr>3.12</vt:lpstr>
      <vt:lpstr>3.13</vt:lpstr>
      <vt:lpstr>3.14</vt:lpstr>
      <vt:lpstr>3.15</vt:lpstr>
      <vt:lpstr>3.17</vt:lpstr>
      <vt:lpstr>3.18</vt:lpstr>
      <vt:lpstr>3.19</vt:lpstr>
      <vt:lpstr>3.20</vt:lpstr>
      <vt:lpstr>Summary Statistics - Negative</vt:lpstr>
      <vt:lpstr>Summary Statistics - Positive</vt:lpstr>
      <vt:lpstr>X</vt:lpstr>
      <vt:lpstr>Chart Output - 1</vt:lpstr>
      <vt:lpstr>Chart Output - 2</vt:lpstr>
      <vt:lpstr>'3.15'!Print_Area</vt:lpstr>
      <vt:lpstr>'Chart Output - 2'!Print_Area</vt:lpstr>
      <vt:lpstr>Cover!Print_Area</vt:lpstr>
      <vt:lpstr>'Summary Statistics - Negative'!Print_Area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Hillis, Ian C1</dc:creator>
  <cp:keywords/>
  <dc:description/>
  <cp:lastModifiedBy>Hillis, Ian C1 (People-Sec-SCO Stats Mgr)</cp:lastModifiedBy>
  <cp:revision/>
  <dcterms:created xsi:type="dcterms:W3CDTF">2021-11-15T11:56:33Z</dcterms:created>
  <dcterms:modified xsi:type="dcterms:W3CDTF">2024-03-21T14:44:57Z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0x010100FAA0A868EB91774FBBA1A7F303AAB198</vt:lpwstr>
  </property>
  <property fmtid="{D5CDD505-2E9C-101B-9397-08002B2CF9AE}" pid="3" name="MSIP_Label_d8a60473-494b-4586-a1bb-b0e663054676_Enabled">
    <vt:lpwstr>true</vt:lpwstr>
  </property>
  <property fmtid="{D5CDD505-2E9C-101B-9397-08002B2CF9AE}" pid="4" name="MSIP_Label_d8a60473-494b-4586-a1bb-b0e663054676_SetDate">
    <vt:lpwstr>2023-01-23T12:37:45Z</vt:lpwstr>
  </property>
  <property fmtid="{D5CDD505-2E9C-101B-9397-08002B2CF9AE}" pid="5" name="MSIP_Label_d8a60473-494b-4586-a1bb-b0e663054676_Method">
    <vt:lpwstr>Privileged</vt:lpwstr>
  </property>
  <property fmtid="{D5CDD505-2E9C-101B-9397-08002B2CF9AE}" pid="6" name="MSIP_Label_d8a60473-494b-4586-a1bb-b0e663054676_Name">
    <vt:lpwstr>MOD-1-O-‘UNMARKED’</vt:lpwstr>
  </property>
  <property fmtid="{D5CDD505-2E9C-101B-9397-08002B2CF9AE}" pid="7" name="MSIP_Label_d8a60473-494b-4586-a1bb-b0e663054676_SiteId">
    <vt:lpwstr>be7760ed-5953-484b-ae95-d0a16dfa09e5</vt:lpwstr>
  </property>
  <property fmtid="{D5CDD505-2E9C-101B-9397-08002B2CF9AE}" pid="8" name="MSIP_Label_d8a60473-494b-4586-a1bb-b0e663054676_ActionId">
    <vt:lpwstr>806fdfba-0189-4c2a-a867-729acc63e50c</vt:lpwstr>
  </property>
  <property fmtid="{D5CDD505-2E9C-101B-9397-08002B2CF9AE}" pid="9" name="MSIP_Label_d8a60473-494b-4586-a1bb-b0e663054676_ContentBits">
    <vt:lpwstr>0</vt:lpwstr>
  </property>
</Properties>
</file>